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educacionalbr-my.sharepoint.com/personal/claudineia_jorge_sereducacional_com/Documents/Área de Trabalho/FAEL/1º Comercial/Planejamento comercial/2025/PREÇOS/"/>
    </mc:Choice>
  </mc:AlternateContent>
  <xr:revisionPtr revIDLastSave="504" documentId="8_{4785FAFB-D568-4EA7-94B7-35E4D0882F11}" xr6:coauthVersionLast="47" xr6:coauthVersionMax="47" xr10:uidLastSave="{4394E7B5-223E-4BC1-8A1A-0F808444A63B}"/>
  <bookViews>
    <workbookView xWindow="20370" yWindow="-120" windowWidth="24240" windowHeight="13140" xr2:uid="{FD7B109E-C37F-46B1-BF1B-049547A19378}"/>
  </bookViews>
  <sheets>
    <sheet name="PÓS GRADUAÇÃO EAD ➜ DIGITAL" sheetId="1" r:id="rId1"/>
    <sheet name="PÓS GRADUAÇÃO EAD ➜ AO VIVO" sheetId="2" r:id="rId2"/>
  </sheets>
  <externalReferences>
    <externalReference r:id="rId3"/>
  </externalReferences>
  <definedNames>
    <definedName name="_xlnm._FilterDatabase" localSheetId="1" hidden="1">'PÓS GRADUAÇÃO EAD ➜ AO VIVO'!$N$1:$W$2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4" i="2" l="1"/>
  <c r="CL4" i="2" s="1"/>
  <c r="CE5" i="2"/>
  <c r="CL5" i="2" s="1"/>
  <c r="CE6" i="2"/>
  <c r="CL6" i="2" s="1"/>
  <c r="CE7" i="2"/>
  <c r="CL7" i="2" s="1"/>
  <c r="CE8" i="2"/>
  <c r="CL8" i="2" s="1"/>
  <c r="CE9" i="2"/>
  <c r="CL9" i="2" s="1"/>
  <c r="CE10" i="2"/>
  <c r="CL10" i="2" s="1"/>
  <c r="CE11" i="2"/>
  <c r="CL11" i="2" s="1"/>
  <c r="CE12" i="2"/>
  <c r="CL12" i="2" s="1"/>
  <c r="CE13" i="2"/>
  <c r="CL13" i="2" s="1"/>
  <c r="CE14" i="2"/>
  <c r="CL14" i="2" s="1"/>
  <c r="CE15" i="2"/>
  <c r="CL15" i="2" s="1"/>
  <c r="CE16" i="2"/>
  <c r="CL16" i="2" s="1"/>
  <c r="CE17" i="2"/>
  <c r="CL17" i="2" s="1"/>
  <c r="CE18" i="2"/>
  <c r="CL18" i="2" s="1"/>
  <c r="CE19" i="2"/>
  <c r="CL19" i="2" s="1"/>
  <c r="CE20" i="2"/>
  <c r="CL20" i="2" s="1"/>
  <c r="CE21" i="2"/>
  <c r="CL21" i="2" s="1"/>
  <c r="CE22" i="2"/>
  <c r="CL22" i="2" s="1"/>
  <c r="CE23" i="2"/>
  <c r="CL23" i="2" s="1"/>
  <c r="CE24" i="2"/>
  <c r="CL24" i="2" s="1"/>
  <c r="CE25" i="2"/>
  <c r="CL25" i="2" s="1"/>
  <c r="CE26" i="2"/>
  <c r="CL26" i="2" s="1"/>
  <c r="CE27" i="2"/>
  <c r="CL27" i="2" s="1"/>
  <c r="CE28" i="2"/>
  <c r="CL28" i="2" s="1"/>
  <c r="CE29" i="2"/>
  <c r="CL29" i="2" s="1"/>
  <c r="CE30" i="2"/>
  <c r="CL30" i="2" s="1"/>
  <c r="CE31" i="2"/>
  <c r="CL31" i="2" s="1"/>
  <c r="CE32" i="2"/>
  <c r="CL32" i="2" s="1"/>
  <c r="CE33" i="2"/>
  <c r="CL33" i="2" s="1"/>
  <c r="CE34" i="2"/>
  <c r="CL34" i="2" s="1"/>
  <c r="CE35" i="2"/>
  <c r="CL35" i="2" s="1"/>
  <c r="CE36" i="2"/>
  <c r="CL36" i="2" s="1"/>
  <c r="CE37" i="2"/>
  <c r="CL37" i="2" s="1"/>
  <c r="CE38" i="2"/>
  <c r="CL38" i="2" s="1"/>
  <c r="CE39" i="2"/>
  <c r="CL39" i="2" s="1"/>
  <c r="CE40" i="2"/>
  <c r="CL40" i="2" s="1"/>
  <c r="CE41" i="2"/>
  <c r="CL41" i="2" s="1"/>
  <c r="CE42" i="2"/>
  <c r="CL42" i="2" s="1"/>
  <c r="CE43" i="2"/>
  <c r="CL43" i="2" s="1"/>
  <c r="CE44" i="2"/>
  <c r="CL44" i="2" s="1"/>
  <c r="CE45" i="2"/>
  <c r="CL45" i="2" s="1"/>
  <c r="CE46" i="2"/>
  <c r="CL46" i="2" s="1"/>
  <c r="CE47" i="2"/>
  <c r="CL47" i="2" s="1"/>
  <c r="CE48" i="2"/>
  <c r="CL48" i="2" s="1"/>
  <c r="CE49" i="2"/>
  <c r="CL49" i="2" s="1"/>
  <c r="CE50" i="2"/>
  <c r="CL50" i="2" s="1"/>
  <c r="CE51" i="2"/>
  <c r="CL51" i="2" s="1"/>
  <c r="CE52" i="2"/>
  <c r="CL52" i="2" s="1"/>
  <c r="CE53" i="2"/>
  <c r="CL53" i="2" s="1"/>
  <c r="CE54" i="2"/>
  <c r="CL54" i="2" s="1"/>
  <c r="CE55" i="2"/>
  <c r="CL55" i="2" s="1"/>
  <c r="CE56" i="2"/>
  <c r="CL56" i="2" s="1"/>
  <c r="CE57" i="2"/>
  <c r="CL57" i="2" s="1"/>
  <c r="CE58" i="2"/>
  <c r="CL58" i="2" s="1"/>
  <c r="CE59" i="2"/>
  <c r="CL59" i="2" s="1"/>
  <c r="CE60" i="2"/>
  <c r="CL60" i="2" s="1"/>
  <c r="CE61" i="2"/>
  <c r="CL61" i="2" s="1"/>
  <c r="CE62" i="2"/>
  <c r="CL62" i="2" s="1"/>
  <c r="CE63" i="2"/>
  <c r="CL63" i="2" s="1"/>
  <c r="CE64" i="2"/>
  <c r="CL64" i="2" s="1"/>
  <c r="CE65" i="2"/>
  <c r="CL65" i="2" s="1"/>
  <c r="CE66" i="2"/>
  <c r="CL66" i="2" s="1"/>
  <c r="CE67" i="2"/>
  <c r="CL67" i="2" s="1"/>
  <c r="CE68" i="2"/>
  <c r="CL68" i="2" s="1"/>
  <c r="CE69" i="2"/>
  <c r="CL69" i="2" s="1"/>
  <c r="CE70" i="2"/>
  <c r="CL70" i="2" s="1"/>
  <c r="CE71" i="2"/>
  <c r="CL71" i="2" s="1"/>
  <c r="CE72" i="2"/>
  <c r="CL72" i="2" s="1"/>
  <c r="CE73" i="2"/>
  <c r="CL73" i="2" s="1"/>
  <c r="CE74" i="2"/>
  <c r="CL74" i="2" s="1"/>
  <c r="CE75" i="2"/>
  <c r="CL75" i="2" s="1"/>
  <c r="CE76" i="2"/>
  <c r="CL76" i="2" s="1"/>
  <c r="CE77" i="2"/>
  <c r="CL77" i="2" s="1"/>
  <c r="CE78" i="2"/>
  <c r="CL78" i="2" s="1"/>
  <c r="CE79" i="2"/>
  <c r="CL79" i="2" s="1"/>
  <c r="CE80" i="2"/>
  <c r="CL80" i="2" s="1"/>
  <c r="CE81" i="2"/>
  <c r="CL81" i="2" s="1"/>
  <c r="CE82" i="2"/>
  <c r="CL82" i="2" s="1"/>
  <c r="CE83" i="2"/>
  <c r="CL83" i="2" s="1"/>
  <c r="CE84" i="2"/>
  <c r="CL84" i="2" s="1"/>
  <c r="CE85" i="2"/>
  <c r="CE86" i="2"/>
  <c r="CE87" i="2"/>
  <c r="CE88" i="2"/>
  <c r="CE89" i="2"/>
  <c r="CE90" i="2"/>
  <c r="CE91" i="2"/>
  <c r="CE92" i="2"/>
  <c r="CE93" i="2"/>
  <c r="CE94" i="2"/>
  <c r="CE95" i="2"/>
  <c r="CE96" i="2"/>
  <c r="CE97" i="2"/>
  <c r="CE98" i="2"/>
  <c r="CE99" i="2"/>
  <c r="CE100" i="2"/>
  <c r="CE101" i="2"/>
  <c r="CE102" i="2"/>
  <c r="CE103" i="2"/>
  <c r="CE104" i="2"/>
  <c r="CE105" i="2"/>
  <c r="CE106" i="2"/>
  <c r="CE107" i="2"/>
  <c r="CE108" i="2"/>
  <c r="CE109" i="2"/>
  <c r="CE110" i="2"/>
  <c r="CE111" i="2"/>
  <c r="CE112" i="2"/>
  <c r="CE113" i="2"/>
  <c r="CE114" i="2"/>
  <c r="CL114" i="2" s="1"/>
  <c r="CE115" i="2"/>
  <c r="CD4" i="2"/>
  <c r="CK4" i="2" s="1"/>
  <c r="CD5" i="2"/>
  <c r="CK5" i="2" s="1"/>
  <c r="CD6" i="2"/>
  <c r="CK6" i="2" s="1"/>
  <c r="CD7" i="2"/>
  <c r="CK7" i="2" s="1"/>
  <c r="CD8" i="2"/>
  <c r="CK8" i="2" s="1"/>
  <c r="CD9" i="2"/>
  <c r="CK9" i="2" s="1"/>
  <c r="CD10" i="2"/>
  <c r="CK10" i="2" s="1"/>
  <c r="CD11" i="2"/>
  <c r="CK11" i="2" s="1"/>
  <c r="CD12" i="2"/>
  <c r="CK12" i="2" s="1"/>
  <c r="CD13" i="2"/>
  <c r="CK13" i="2" s="1"/>
  <c r="CD14" i="2"/>
  <c r="CK14" i="2" s="1"/>
  <c r="CD15" i="2"/>
  <c r="CK15" i="2" s="1"/>
  <c r="CD16" i="2"/>
  <c r="CK16" i="2" s="1"/>
  <c r="CD17" i="2"/>
  <c r="CK17" i="2" s="1"/>
  <c r="CD18" i="2"/>
  <c r="CK18" i="2" s="1"/>
  <c r="CD19" i="2"/>
  <c r="CK19" i="2" s="1"/>
  <c r="CD20" i="2"/>
  <c r="CK20" i="2" s="1"/>
  <c r="CD21" i="2"/>
  <c r="CK21" i="2" s="1"/>
  <c r="CD22" i="2"/>
  <c r="CK22" i="2" s="1"/>
  <c r="CD23" i="2"/>
  <c r="CK23" i="2" s="1"/>
  <c r="CD24" i="2"/>
  <c r="CK24" i="2" s="1"/>
  <c r="CD25" i="2"/>
  <c r="CK25" i="2" s="1"/>
  <c r="CD26" i="2"/>
  <c r="CK26" i="2" s="1"/>
  <c r="CD27" i="2"/>
  <c r="CK27" i="2" s="1"/>
  <c r="CD28" i="2"/>
  <c r="CK28" i="2" s="1"/>
  <c r="CD29" i="2"/>
  <c r="CK29" i="2" s="1"/>
  <c r="CD30" i="2"/>
  <c r="CK30" i="2" s="1"/>
  <c r="CD31" i="2"/>
  <c r="CK31" i="2" s="1"/>
  <c r="CD32" i="2"/>
  <c r="CK32" i="2" s="1"/>
  <c r="CD33" i="2"/>
  <c r="CK33" i="2" s="1"/>
  <c r="CD34" i="2"/>
  <c r="CK34" i="2" s="1"/>
  <c r="CD35" i="2"/>
  <c r="CK35" i="2" s="1"/>
  <c r="CD36" i="2"/>
  <c r="CK36" i="2" s="1"/>
  <c r="CD37" i="2"/>
  <c r="CK37" i="2" s="1"/>
  <c r="CD38" i="2"/>
  <c r="CK38" i="2" s="1"/>
  <c r="CD39" i="2"/>
  <c r="CK39" i="2" s="1"/>
  <c r="CD40" i="2"/>
  <c r="CK40" i="2" s="1"/>
  <c r="CD41" i="2"/>
  <c r="CK41" i="2" s="1"/>
  <c r="CD42" i="2"/>
  <c r="CK42" i="2" s="1"/>
  <c r="CD43" i="2"/>
  <c r="CK43" i="2" s="1"/>
  <c r="CD44" i="2"/>
  <c r="CK44" i="2" s="1"/>
  <c r="CD45" i="2"/>
  <c r="CK45" i="2" s="1"/>
  <c r="CD46" i="2"/>
  <c r="CK46" i="2" s="1"/>
  <c r="CD47" i="2"/>
  <c r="CK47" i="2" s="1"/>
  <c r="CD48" i="2"/>
  <c r="CK48" i="2" s="1"/>
  <c r="CD49" i="2"/>
  <c r="CK49" i="2" s="1"/>
  <c r="CD50" i="2"/>
  <c r="CK50" i="2" s="1"/>
  <c r="CD51" i="2"/>
  <c r="CK51" i="2" s="1"/>
  <c r="CD52" i="2"/>
  <c r="CK52" i="2" s="1"/>
  <c r="CD53" i="2"/>
  <c r="CK53" i="2" s="1"/>
  <c r="CD54" i="2"/>
  <c r="CK54" i="2" s="1"/>
  <c r="CD55" i="2"/>
  <c r="CK55" i="2" s="1"/>
  <c r="CD56" i="2"/>
  <c r="CK56" i="2" s="1"/>
  <c r="CD57" i="2"/>
  <c r="CK57" i="2" s="1"/>
  <c r="CD58" i="2"/>
  <c r="CK58" i="2" s="1"/>
  <c r="CD59" i="2"/>
  <c r="CK59" i="2" s="1"/>
  <c r="CD60" i="2"/>
  <c r="CK60" i="2" s="1"/>
  <c r="CD61" i="2"/>
  <c r="CK61" i="2" s="1"/>
  <c r="CD62" i="2"/>
  <c r="CK62" i="2" s="1"/>
  <c r="CD63" i="2"/>
  <c r="CK63" i="2" s="1"/>
  <c r="CD64" i="2"/>
  <c r="CK64" i="2" s="1"/>
  <c r="CD65" i="2"/>
  <c r="CK65" i="2" s="1"/>
  <c r="CD66" i="2"/>
  <c r="CK66" i="2" s="1"/>
  <c r="CD67" i="2"/>
  <c r="CK67" i="2" s="1"/>
  <c r="CD68" i="2"/>
  <c r="CK68" i="2" s="1"/>
  <c r="CD69" i="2"/>
  <c r="CK69" i="2" s="1"/>
  <c r="CD70" i="2"/>
  <c r="CK70" i="2" s="1"/>
  <c r="CD71" i="2"/>
  <c r="CK71" i="2" s="1"/>
  <c r="CD72" i="2"/>
  <c r="CK72" i="2" s="1"/>
  <c r="CD73" i="2"/>
  <c r="CK73" i="2" s="1"/>
  <c r="CD74" i="2"/>
  <c r="CK74" i="2" s="1"/>
  <c r="CD75" i="2"/>
  <c r="CK75" i="2" s="1"/>
  <c r="CD76" i="2"/>
  <c r="CK76" i="2" s="1"/>
  <c r="CD77" i="2"/>
  <c r="CK77" i="2" s="1"/>
  <c r="CD78" i="2"/>
  <c r="CK78" i="2" s="1"/>
  <c r="CD79" i="2"/>
  <c r="CK79" i="2" s="1"/>
  <c r="CD80" i="2"/>
  <c r="CK80" i="2" s="1"/>
  <c r="CD81" i="2"/>
  <c r="CK81" i="2" s="1"/>
  <c r="CD82" i="2"/>
  <c r="CK82" i="2" s="1"/>
  <c r="CD83" i="2"/>
  <c r="CK83" i="2" s="1"/>
  <c r="CD84" i="2"/>
  <c r="CK84" i="2" s="1"/>
  <c r="CD86" i="2"/>
  <c r="CD87" i="2"/>
  <c r="CD88" i="2"/>
  <c r="CD89" i="2"/>
  <c r="CD90" i="2"/>
  <c r="CD91" i="2"/>
  <c r="CD92" i="2"/>
  <c r="CD93" i="2"/>
  <c r="CD94" i="2"/>
  <c r="CD95" i="2"/>
  <c r="CD96" i="2"/>
  <c r="CD97" i="2"/>
  <c r="CD98" i="2"/>
  <c r="CD99" i="2"/>
  <c r="CD100" i="2"/>
  <c r="CD101" i="2"/>
  <c r="CD102" i="2"/>
  <c r="CD103" i="2"/>
  <c r="CD104" i="2"/>
  <c r="CD105" i="2"/>
  <c r="CD106" i="2"/>
  <c r="CD107" i="2"/>
  <c r="CD108" i="2"/>
  <c r="CD109" i="2"/>
  <c r="CD114" i="2"/>
  <c r="CK114" i="2" s="1"/>
  <c r="CC4" i="2"/>
  <c r="CJ4" i="2" s="1"/>
  <c r="CC5" i="2"/>
  <c r="CJ5" i="2" s="1"/>
  <c r="CC6" i="2"/>
  <c r="CJ6" i="2" s="1"/>
  <c r="CC7" i="2"/>
  <c r="CJ7" i="2" s="1"/>
  <c r="CC8" i="2"/>
  <c r="CJ8" i="2" s="1"/>
  <c r="CC9" i="2"/>
  <c r="CJ9" i="2" s="1"/>
  <c r="CC10" i="2"/>
  <c r="CJ10" i="2" s="1"/>
  <c r="CC11" i="2"/>
  <c r="CJ11" i="2" s="1"/>
  <c r="CC12" i="2"/>
  <c r="CJ12" i="2" s="1"/>
  <c r="CC13" i="2"/>
  <c r="CJ13" i="2" s="1"/>
  <c r="CC14" i="2"/>
  <c r="CJ14" i="2" s="1"/>
  <c r="CC15" i="2"/>
  <c r="CJ15" i="2" s="1"/>
  <c r="CC16" i="2"/>
  <c r="CJ16" i="2" s="1"/>
  <c r="CC17" i="2"/>
  <c r="CJ17" i="2" s="1"/>
  <c r="CC18" i="2"/>
  <c r="CJ18" i="2" s="1"/>
  <c r="CC19" i="2"/>
  <c r="CJ19" i="2" s="1"/>
  <c r="CC20" i="2"/>
  <c r="CJ20" i="2" s="1"/>
  <c r="CC21" i="2"/>
  <c r="CJ21" i="2" s="1"/>
  <c r="CC22" i="2"/>
  <c r="CJ22" i="2" s="1"/>
  <c r="CC23" i="2"/>
  <c r="CJ23" i="2" s="1"/>
  <c r="CC24" i="2"/>
  <c r="CJ24" i="2" s="1"/>
  <c r="CC25" i="2"/>
  <c r="CJ25" i="2" s="1"/>
  <c r="CC26" i="2"/>
  <c r="CJ26" i="2" s="1"/>
  <c r="CC27" i="2"/>
  <c r="CJ27" i="2" s="1"/>
  <c r="CC28" i="2"/>
  <c r="CJ28" i="2" s="1"/>
  <c r="CC29" i="2"/>
  <c r="CJ29" i="2" s="1"/>
  <c r="CC30" i="2"/>
  <c r="CJ30" i="2" s="1"/>
  <c r="CC31" i="2"/>
  <c r="CJ31" i="2" s="1"/>
  <c r="CC32" i="2"/>
  <c r="CJ32" i="2" s="1"/>
  <c r="CC33" i="2"/>
  <c r="CJ33" i="2" s="1"/>
  <c r="CC34" i="2"/>
  <c r="CJ34" i="2" s="1"/>
  <c r="CC35" i="2"/>
  <c r="CJ35" i="2" s="1"/>
  <c r="CC36" i="2"/>
  <c r="CJ36" i="2" s="1"/>
  <c r="CC37" i="2"/>
  <c r="CJ37" i="2" s="1"/>
  <c r="CC38" i="2"/>
  <c r="CJ38" i="2" s="1"/>
  <c r="CC39" i="2"/>
  <c r="CJ39" i="2" s="1"/>
  <c r="CC40" i="2"/>
  <c r="CJ40" i="2" s="1"/>
  <c r="CC41" i="2"/>
  <c r="CJ41" i="2" s="1"/>
  <c r="CC42" i="2"/>
  <c r="CJ42" i="2" s="1"/>
  <c r="CC43" i="2"/>
  <c r="CJ43" i="2" s="1"/>
  <c r="CC44" i="2"/>
  <c r="CJ44" i="2" s="1"/>
  <c r="CC45" i="2"/>
  <c r="CJ45" i="2" s="1"/>
  <c r="CC46" i="2"/>
  <c r="CJ46" i="2" s="1"/>
  <c r="CC47" i="2"/>
  <c r="CJ47" i="2" s="1"/>
  <c r="CC48" i="2"/>
  <c r="CJ48" i="2" s="1"/>
  <c r="CC49" i="2"/>
  <c r="CJ49" i="2" s="1"/>
  <c r="CC50" i="2"/>
  <c r="CJ50" i="2" s="1"/>
  <c r="CC51" i="2"/>
  <c r="CJ51" i="2" s="1"/>
  <c r="CC52" i="2"/>
  <c r="CJ52" i="2" s="1"/>
  <c r="CC53" i="2"/>
  <c r="CJ53" i="2" s="1"/>
  <c r="CC54" i="2"/>
  <c r="CJ54" i="2" s="1"/>
  <c r="CC55" i="2"/>
  <c r="CJ55" i="2" s="1"/>
  <c r="CC56" i="2"/>
  <c r="CJ56" i="2" s="1"/>
  <c r="CC57" i="2"/>
  <c r="CJ57" i="2" s="1"/>
  <c r="CC58" i="2"/>
  <c r="CJ58" i="2" s="1"/>
  <c r="CC59" i="2"/>
  <c r="CJ59" i="2" s="1"/>
  <c r="CC60" i="2"/>
  <c r="CJ60" i="2" s="1"/>
  <c r="CC61" i="2"/>
  <c r="CJ61" i="2" s="1"/>
  <c r="CC62" i="2"/>
  <c r="CJ62" i="2" s="1"/>
  <c r="CC63" i="2"/>
  <c r="CJ63" i="2" s="1"/>
  <c r="CC64" i="2"/>
  <c r="CJ64" i="2" s="1"/>
  <c r="CC65" i="2"/>
  <c r="CJ65" i="2" s="1"/>
  <c r="CC66" i="2"/>
  <c r="CJ66" i="2" s="1"/>
  <c r="CC67" i="2"/>
  <c r="CJ67" i="2" s="1"/>
  <c r="CC68" i="2"/>
  <c r="CJ68" i="2" s="1"/>
  <c r="CC69" i="2"/>
  <c r="CJ69" i="2" s="1"/>
  <c r="CC70" i="2"/>
  <c r="CJ70" i="2" s="1"/>
  <c r="CC71" i="2"/>
  <c r="CJ71" i="2" s="1"/>
  <c r="CC72" i="2"/>
  <c r="CJ72" i="2" s="1"/>
  <c r="CC73" i="2"/>
  <c r="CJ73" i="2" s="1"/>
  <c r="CC74" i="2"/>
  <c r="CJ74" i="2" s="1"/>
  <c r="CC75" i="2"/>
  <c r="CJ75" i="2" s="1"/>
  <c r="CC76" i="2"/>
  <c r="CJ76" i="2" s="1"/>
  <c r="CC77" i="2"/>
  <c r="CJ77" i="2" s="1"/>
  <c r="CC78" i="2"/>
  <c r="CJ78" i="2" s="1"/>
  <c r="CC79" i="2"/>
  <c r="CJ79" i="2" s="1"/>
  <c r="CC80" i="2"/>
  <c r="CJ80" i="2" s="1"/>
  <c r="CC81" i="2"/>
  <c r="CJ81" i="2" s="1"/>
  <c r="CC82" i="2"/>
  <c r="CJ82" i="2" s="1"/>
  <c r="CC83" i="2"/>
  <c r="CJ83" i="2" s="1"/>
  <c r="CC84" i="2"/>
  <c r="CJ84" i="2" s="1"/>
  <c r="CC85" i="2"/>
  <c r="CC86" i="2"/>
  <c r="CC87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107" i="2"/>
  <c r="CC108" i="2"/>
  <c r="CC109" i="2"/>
  <c r="CC110" i="2"/>
  <c r="CC111" i="2"/>
  <c r="CC112" i="2"/>
  <c r="CC113" i="2"/>
  <c r="CC114" i="2"/>
  <c r="CJ114" i="2" s="1"/>
  <c r="CC115" i="2"/>
  <c r="CB4" i="2"/>
  <c r="CI4" i="2" s="1"/>
  <c r="CB5" i="2"/>
  <c r="CI5" i="2" s="1"/>
  <c r="CB6" i="2"/>
  <c r="CI6" i="2" s="1"/>
  <c r="CB7" i="2"/>
  <c r="CI7" i="2" s="1"/>
  <c r="CB8" i="2"/>
  <c r="CI8" i="2" s="1"/>
  <c r="CB9" i="2"/>
  <c r="CI9" i="2" s="1"/>
  <c r="CB10" i="2"/>
  <c r="CI10" i="2" s="1"/>
  <c r="CB11" i="2"/>
  <c r="CI11" i="2" s="1"/>
  <c r="CB12" i="2"/>
  <c r="CI12" i="2" s="1"/>
  <c r="CB13" i="2"/>
  <c r="CI13" i="2" s="1"/>
  <c r="CB14" i="2"/>
  <c r="CI14" i="2" s="1"/>
  <c r="CB15" i="2"/>
  <c r="CI15" i="2" s="1"/>
  <c r="CB16" i="2"/>
  <c r="CI16" i="2" s="1"/>
  <c r="CB17" i="2"/>
  <c r="CI17" i="2" s="1"/>
  <c r="CB18" i="2"/>
  <c r="CI18" i="2" s="1"/>
  <c r="CB19" i="2"/>
  <c r="CI19" i="2" s="1"/>
  <c r="CB20" i="2"/>
  <c r="CI20" i="2" s="1"/>
  <c r="CB21" i="2"/>
  <c r="CI21" i="2" s="1"/>
  <c r="CB22" i="2"/>
  <c r="CI22" i="2" s="1"/>
  <c r="CB23" i="2"/>
  <c r="CI23" i="2" s="1"/>
  <c r="CB24" i="2"/>
  <c r="CI24" i="2" s="1"/>
  <c r="CB25" i="2"/>
  <c r="CI25" i="2" s="1"/>
  <c r="CB26" i="2"/>
  <c r="CI26" i="2" s="1"/>
  <c r="CB27" i="2"/>
  <c r="CI27" i="2" s="1"/>
  <c r="CB28" i="2"/>
  <c r="CI28" i="2" s="1"/>
  <c r="CB29" i="2"/>
  <c r="CI29" i="2" s="1"/>
  <c r="CB30" i="2"/>
  <c r="CI30" i="2" s="1"/>
  <c r="CB31" i="2"/>
  <c r="CI31" i="2" s="1"/>
  <c r="CB32" i="2"/>
  <c r="CI32" i="2" s="1"/>
  <c r="CB33" i="2"/>
  <c r="CI33" i="2" s="1"/>
  <c r="CB34" i="2"/>
  <c r="CI34" i="2" s="1"/>
  <c r="CB35" i="2"/>
  <c r="CI35" i="2" s="1"/>
  <c r="CB36" i="2"/>
  <c r="CI36" i="2" s="1"/>
  <c r="CB37" i="2"/>
  <c r="CI37" i="2" s="1"/>
  <c r="CB38" i="2"/>
  <c r="CI38" i="2" s="1"/>
  <c r="CB39" i="2"/>
  <c r="CI39" i="2" s="1"/>
  <c r="CB40" i="2"/>
  <c r="CI40" i="2" s="1"/>
  <c r="CB41" i="2"/>
  <c r="CI41" i="2" s="1"/>
  <c r="CB42" i="2"/>
  <c r="CI42" i="2" s="1"/>
  <c r="CB43" i="2"/>
  <c r="CI43" i="2" s="1"/>
  <c r="CB44" i="2"/>
  <c r="CI44" i="2" s="1"/>
  <c r="CB45" i="2"/>
  <c r="CI45" i="2" s="1"/>
  <c r="CB46" i="2"/>
  <c r="CI46" i="2" s="1"/>
  <c r="CB47" i="2"/>
  <c r="CI47" i="2" s="1"/>
  <c r="CB48" i="2"/>
  <c r="CI48" i="2" s="1"/>
  <c r="CB49" i="2"/>
  <c r="CI49" i="2" s="1"/>
  <c r="CB50" i="2"/>
  <c r="CI50" i="2" s="1"/>
  <c r="CB51" i="2"/>
  <c r="CI51" i="2" s="1"/>
  <c r="CB52" i="2"/>
  <c r="CI52" i="2" s="1"/>
  <c r="CB53" i="2"/>
  <c r="CI53" i="2" s="1"/>
  <c r="CB54" i="2"/>
  <c r="CI54" i="2" s="1"/>
  <c r="CB55" i="2"/>
  <c r="CI55" i="2" s="1"/>
  <c r="CB56" i="2"/>
  <c r="CI56" i="2" s="1"/>
  <c r="CB57" i="2"/>
  <c r="CI57" i="2" s="1"/>
  <c r="CB58" i="2"/>
  <c r="CI58" i="2" s="1"/>
  <c r="CB59" i="2"/>
  <c r="CI59" i="2" s="1"/>
  <c r="CB60" i="2"/>
  <c r="CI60" i="2" s="1"/>
  <c r="CB61" i="2"/>
  <c r="CI61" i="2" s="1"/>
  <c r="CB62" i="2"/>
  <c r="CI62" i="2" s="1"/>
  <c r="CB63" i="2"/>
  <c r="CI63" i="2" s="1"/>
  <c r="CB64" i="2"/>
  <c r="CI64" i="2" s="1"/>
  <c r="CB65" i="2"/>
  <c r="CI65" i="2" s="1"/>
  <c r="CB66" i="2"/>
  <c r="CI66" i="2" s="1"/>
  <c r="CB67" i="2"/>
  <c r="CI67" i="2" s="1"/>
  <c r="CB68" i="2"/>
  <c r="CI68" i="2" s="1"/>
  <c r="CB69" i="2"/>
  <c r="CI69" i="2" s="1"/>
  <c r="CB70" i="2"/>
  <c r="CI70" i="2" s="1"/>
  <c r="CB71" i="2"/>
  <c r="CI71" i="2" s="1"/>
  <c r="CB72" i="2"/>
  <c r="CI72" i="2" s="1"/>
  <c r="CB73" i="2"/>
  <c r="CI73" i="2" s="1"/>
  <c r="CB74" i="2"/>
  <c r="CI74" i="2" s="1"/>
  <c r="CB75" i="2"/>
  <c r="CI75" i="2" s="1"/>
  <c r="CB76" i="2"/>
  <c r="CI76" i="2" s="1"/>
  <c r="CB77" i="2"/>
  <c r="CI77" i="2" s="1"/>
  <c r="CB78" i="2"/>
  <c r="CI78" i="2" s="1"/>
  <c r="CB79" i="2"/>
  <c r="CI79" i="2" s="1"/>
  <c r="CB80" i="2"/>
  <c r="CI80" i="2" s="1"/>
  <c r="CB81" i="2"/>
  <c r="CI81" i="2" s="1"/>
  <c r="CB82" i="2"/>
  <c r="CI82" i="2" s="1"/>
  <c r="CB83" i="2"/>
  <c r="CI83" i="2" s="1"/>
  <c r="CB84" i="2"/>
  <c r="CI84" i="2" s="1"/>
  <c r="CB86" i="2"/>
  <c r="CB87" i="2"/>
  <c r="CB88" i="2"/>
  <c r="CB89" i="2"/>
  <c r="CB90" i="2"/>
  <c r="CB91" i="2"/>
  <c r="CB92" i="2"/>
  <c r="CB93" i="2"/>
  <c r="CB94" i="2"/>
  <c r="CB95" i="2"/>
  <c r="CB96" i="2"/>
  <c r="CB97" i="2"/>
  <c r="CB98" i="2"/>
  <c r="CB99" i="2"/>
  <c r="CB100" i="2"/>
  <c r="CB101" i="2"/>
  <c r="CB102" i="2"/>
  <c r="CB103" i="2"/>
  <c r="CB104" i="2"/>
  <c r="CB105" i="2"/>
  <c r="CB106" i="2"/>
  <c r="CB107" i="2"/>
  <c r="CB108" i="2"/>
  <c r="CB109" i="2"/>
  <c r="CB114" i="2"/>
  <c r="CI114" i="2" s="1"/>
  <c r="CA4" i="2"/>
  <c r="CH4" i="2" s="1"/>
  <c r="CA5" i="2"/>
  <c r="CH5" i="2" s="1"/>
  <c r="CA6" i="2"/>
  <c r="CH6" i="2" s="1"/>
  <c r="CA7" i="2"/>
  <c r="CH7" i="2" s="1"/>
  <c r="CA8" i="2"/>
  <c r="CH8" i="2" s="1"/>
  <c r="CA9" i="2"/>
  <c r="CH9" i="2" s="1"/>
  <c r="CA10" i="2"/>
  <c r="CH10" i="2" s="1"/>
  <c r="CA11" i="2"/>
  <c r="CH11" i="2" s="1"/>
  <c r="CA12" i="2"/>
  <c r="CH12" i="2" s="1"/>
  <c r="CA13" i="2"/>
  <c r="CH13" i="2" s="1"/>
  <c r="CA14" i="2"/>
  <c r="CH14" i="2" s="1"/>
  <c r="CA15" i="2"/>
  <c r="CH15" i="2" s="1"/>
  <c r="CA16" i="2"/>
  <c r="CH16" i="2" s="1"/>
  <c r="CA17" i="2"/>
  <c r="CH17" i="2" s="1"/>
  <c r="CA18" i="2"/>
  <c r="CH18" i="2" s="1"/>
  <c r="CA19" i="2"/>
  <c r="CH19" i="2" s="1"/>
  <c r="CA20" i="2"/>
  <c r="CH20" i="2" s="1"/>
  <c r="CA21" i="2"/>
  <c r="CH21" i="2" s="1"/>
  <c r="CA22" i="2"/>
  <c r="CH22" i="2" s="1"/>
  <c r="CA23" i="2"/>
  <c r="CH23" i="2" s="1"/>
  <c r="CA24" i="2"/>
  <c r="CH24" i="2" s="1"/>
  <c r="CA25" i="2"/>
  <c r="CH25" i="2" s="1"/>
  <c r="CA26" i="2"/>
  <c r="CH26" i="2" s="1"/>
  <c r="CA27" i="2"/>
  <c r="CH27" i="2" s="1"/>
  <c r="CA28" i="2"/>
  <c r="CH28" i="2" s="1"/>
  <c r="CA29" i="2"/>
  <c r="CH29" i="2" s="1"/>
  <c r="CA30" i="2"/>
  <c r="CH30" i="2" s="1"/>
  <c r="CA31" i="2"/>
  <c r="CH31" i="2" s="1"/>
  <c r="CA32" i="2"/>
  <c r="CH32" i="2" s="1"/>
  <c r="CA33" i="2"/>
  <c r="CH33" i="2" s="1"/>
  <c r="CA34" i="2"/>
  <c r="CH34" i="2" s="1"/>
  <c r="CA35" i="2"/>
  <c r="CH35" i="2" s="1"/>
  <c r="CA36" i="2"/>
  <c r="CH36" i="2" s="1"/>
  <c r="CA37" i="2"/>
  <c r="CH37" i="2" s="1"/>
  <c r="CA38" i="2"/>
  <c r="CH38" i="2" s="1"/>
  <c r="CA39" i="2"/>
  <c r="CH39" i="2" s="1"/>
  <c r="CA40" i="2"/>
  <c r="CH40" i="2" s="1"/>
  <c r="CA41" i="2"/>
  <c r="CH41" i="2" s="1"/>
  <c r="CA42" i="2"/>
  <c r="CH42" i="2" s="1"/>
  <c r="CA43" i="2"/>
  <c r="CH43" i="2" s="1"/>
  <c r="CA44" i="2"/>
  <c r="CH44" i="2" s="1"/>
  <c r="CA45" i="2"/>
  <c r="CH45" i="2" s="1"/>
  <c r="CA46" i="2"/>
  <c r="CH46" i="2" s="1"/>
  <c r="CA47" i="2"/>
  <c r="CH47" i="2" s="1"/>
  <c r="CA48" i="2"/>
  <c r="CH48" i="2" s="1"/>
  <c r="CA49" i="2"/>
  <c r="CH49" i="2" s="1"/>
  <c r="CA50" i="2"/>
  <c r="CH50" i="2" s="1"/>
  <c r="CA51" i="2"/>
  <c r="CH51" i="2" s="1"/>
  <c r="CA52" i="2"/>
  <c r="CH52" i="2" s="1"/>
  <c r="CA53" i="2"/>
  <c r="CH53" i="2" s="1"/>
  <c r="CA54" i="2"/>
  <c r="CH54" i="2" s="1"/>
  <c r="CA55" i="2"/>
  <c r="CH55" i="2" s="1"/>
  <c r="CA56" i="2"/>
  <c r="CH56" i="2" s="1"/>
  <c r="CA57" i="2"/>
  <c r="CH57" i="2" s="1"/>
  <c r="CA58" i="2"/>
  <c r="CH58" i="2" s="1"/>
  <c r="CA59" i="2"/>
  <c r="CH59" i="2" s="1"/>
  <c r="CA60" i="2"/>
  <c r="CH60" i="2" s="1"/>
  <c r="CA61" i="2"/>
  <c r="CH61" i="2" s="1"/>
  <c r="CA62" i="2"/>
  <c r="CH62" i="2" s="1"/>
  <c r="CA63" i="2"/>
  <c r="CH63" i="2" s="1"/>
  <c r="CA64" i="2"/>
  <c r="CH64" i="2" s="1"/>
  <c r="CA65" i="2"/>
  <c r="CH65" i="2" s="1"/>
  <c r="CA66" i="2"/>
  <c r="CH66" i="2" s="1"/>
  <c r="CA67" i="2"/>
  <c r="CH67" i="2" s="1"/>
  <c r="CA68" i="2"/>
  <c r="CH68" i="2" s="1"/>
  <c r="CA69" i="2"/>
  <c r="CH69" i="2" s="1"/>
  <c r="CA70" i="2"/>
  <c r="CH70" i="2" s="1"/>
  <c r="CA71" i="2"/>
  <c r="CH71" i="2" s="1"/>
  <c r="CA72" i="2"/>
  <c r="CH72" i="2" s="1"/>
  <c r="CA73" i="2"/>
  <c r="CH73" i="2" s="1"/>
  <c r="CA74" i="2"/>
  <c r="CH74" i="2" s="1"/>
  <c r="CA75" i="2"/>
  <c r="CH75" i="2" s="1"/>
  <c r="CA76" i="2"/>
  <c r="CH76" i="2" s="1"/>
  <c r="CA77" i="2"/>
  <c r="CH77" i="2" s="1"/>
  <c r="CA78" i="2"/>
  <c r="CH78" i="2" s="1"/>
  <c r="CA79" i="2"/>
  <c r="CH79" i="2" s="1"/>
  <c r="CA80" i="2"/>
  <c r="CH80" i="2" s="1"/>
  <c r="CA81" i="2"/>
  <c r="CH81" i="2" s="1"/>
  <c r="CA82" i="2"/>
  <c r="CH82" i="2" s="1"/>
  <c r="CA83" i="2"/>
  <c r="CH83" i="2" s="1"/>
  <c r="CA84" i="2"/>
  <c r="CH84" i="2" s="1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H114" i="2" s="1"/>
  <c r="CA115" i="2"/>
  <c r="BZ4" i="2"/>
  <c r="CF4" i="2" s="1"/>
  <c r="CG4" i="2" s="1"/>
  <c r="BZ5" i="2"/>
  <c r="CF5" i="2" s="1"/>
  <c r="CG5" i="2" s="1"/>
  <c r="BZ6" i="2"/>
  <c r="CF6" i="2" s="1"/>
  <c r="CG6" i="2" s="1"/>
  <c r="BZ7" i="2"/>
  <c r="CF7" i="2" s="1"/>
  <c r="CG7" i="2" s="1"/>
  <c r="BZ8" i="2"/>
  <c r="CF8" i="2" s="1"/>
  <c r="CG8" i="2" s="1"/>
  <c r="BZ9" i="2"/>
  <c r="CF9" i="2" s="1"/>
  <c r="CG9" i="2" s="1"/>
  <c r="BZ10" i="2"/>
  <c r="CF10" i="2" s="1"/>
  <c r="CG10" i="2" s="1"/>
  <c r="BZ11" i="2"/>
  <c r="CF11" i="2" s="1"/>
  <c r="CG11" i="2" s="1"/>
  <c r="BZ12" i="2"/>
  <c r="CF12" i="2" s="1"/>
  <c r="CG12" i="2" s="1"/>
  <c r="BZ13" i="2"/>
  <c r="CF13" i="2" s="1"/>
  <c r="CG13" i="2" s="1"/>
  <c r="BZ14" i="2"/>
  <c r="CF14" i="2" s="1"/>
  <c r="CG14" i="2" s="1"/>
  <c r="BZ15" i="2"/>
  <c r="CF15" i="2" s="1"/>
  <c r="CG15" i="2" s="1"/>
  <c r="BZ16" i="2"/>
  <c r="CF16" i="2" s="1"/>
  <c r="CG16" i="2" s="1"/>
  <c r="BZ17" i="2"/>
  <c r="CF17" i="2" s="1"/>
  <c r="CG17" i="2" s="1"/>
  <c r="BZ18" i="2"/>
  <c r="CF18" i="2" s="1"/>
  <c r="CG18" i="2" s="1"/>
  <c r="BZ19" i="2"/>
  <c r="CF19" i="2" s="1"/>
  <c r="CG19" i="2" s="1"/>
  <c r="BZ20" i="2"/>
  <c r="CF20" i="2" s="1"/>
  <c r="CG20" i="2" s="1"/>
  <c r="BZ21" i="2"/>
  <c r="CF21" i="2" s="1"/>
  <c r="CG21" i="2" s="1"/>
  <c r="BZ22" i="2"/>
  <c r="CF22" i="2" s="1"/>
  <c r="CG22" i="2" s="1"/>
  <c r="BZ23" i="2"/>
  <c r="CF23" i="2" s="1"/>
  <c r="CG23" i="2" s="1"/>
  <c r="BZ24" i="2"/>
  <c r="CF24" i="2" s="1"/>
  <c r="CG24" i="2" s="1"/>
  <c r="BZ25" i="2"/>
  <c r="CF25" i="2" s="1"/>
  <c r="CG25" i="2" s="1"/>
  <c r="BZ26" i="2"/>
  <c r="CF26" i="2" s="1"/>
  <c r="CG26" i="2" s="1"/>
  <c r="BZ27" i="2"/>
  <c r="CF27" i="2" s="1"/>
  <c r="CG27" i="2" s="1"/>
  <c r="BZ28" i="2"/>
  <c r="CF28" i="2" s="1"/>
  <c r="CG28" i="2" s="1"/>
  <c r="BZ29" i="2"/>
  <c r="CF29" i="2" s="1"/>
  <c r="CG29" i="2" s="1"/>
  <c r="BZ30" i="2"/>
  <c r="CF30" i="2" s="1"/>
  <c r="CG30" i="2" s="1"/>
  <c r="BZ31" i="2"/>
  <c r="CF31" i="2" s="1"/>
  <c r="CG31" i="2" s="1"/>
  <c r="BZ32" i="2"/>
  <c r="CF32" i="2" s="1"/>
  <c r="CG32" i="2" s="1"/>
  <c r="BZ33" i="2"/>
  <c r="CF33" i="2" s="1"/>
  <c r="CG33" i="2" s="1"/>
  <c r="BZ34" i="2"/>
  <c r="CF34" i="2" s="1"/>
  <c r="CG34" i="2" s="1"/>
  <c r="BZ35" i="2"/>
  <c r="CF35" i="2" s="1"/>
  <c r="CG35" i="2" s="1"/>
  <c r="BZ36" i="2"/>
  <c r="CF36" i="2" s="1"/>
  <c r="CG36" i="2" s="1"/>
  <c r="BZ37" i="2"/>
  <c r="CF37" i="2" s="1"/>
  <c r="CG37" i="2" s="1"/>
  <c r="BZ38" i="2"/>
  <c r="CF38" i="2" s="1"/>
  <c r="CG38" i="2" s="1"/>
  <c r="BZ39" i="2"/>
  <c r="CF39" i="2" s="1"/>
  <c r="CG39" i="2" s="1"/>
  <c r="BZ40" i="2"/>
  <c r="CF40" i="2" s="1"/>
  <c r="CG40" i="2" s="1"/>
  <c r="BZ41" i="2"/>
  <c r="CF41" i="2" s="1"/>
  <c r="CG41" i="2" s="1"/>
  <c r="BZ42" i="2"/>
  <c r="CF42" i="2" s="1"/>
  <c r="CG42" i="2" s="1"/>
  <c r="BZ43" i="2"/>
  <c r="CF43" i="2" s="1"/>
  <c r="CG43" i="2" s="1"/>
  <c r="BZ44" i="2"/>
  <c r="CF44" i="2" s="1"/>
  <c r="CG44" i="2" s="1"/>
  <c r="BZ45" i="2"/>
  <c r="CF45" i="2" s="1"/>
  <c r="CG45" i="2" s="1"/>
  <c r="BZ46" i="2"/>
  <c r="CF46" i="2" s="1"/>
  <c r="CG46" i="2" s="1"/>
  <c r="BZ47" i="2"/>
  <c r="CF47" i="2" s="1"/>
  <c r="CG47" i="2" s="1"/>
  <c r="BZ48" i="2"/>
  <c r="CF48" i="2" s="1"/>
  <c r="CG48" i="2" s="1"/>
  <c r="BZ49" i="2"/>
  <c r="CF49" i="2" s="1"/>
  <c r="CG49" i="2" s="1"/>
  <c r="BZ50" i="2"/>
  <c r="CF50" i="2" s="1"/>
  <c r="CG50" i="2" s="1"/>
  <c r="BZ51" i="2"/>
  <c r="CF51" i="2" s="1"/>
  <c r="CG51" i="2" s="1"/>
  <c r="BZ52" i="2"/>
  <c r="CF52" i="2" s="1"/>
  <c r="CG52" i="2" s="1"/>
  <c r="BZ53" i="2"/>
  <c r="CF53" i="2" s="1"/>
  <c r="CG53" i="2" s="1"/>
  <c r="BZ54" i="2"/>
  <c r="CF54" i="2" s="1"/>
  <c r="CG54" i="2" s="1"/>
  <c r="BZ55" i="2"/>
  <c r="CF55" i="2" s="1"/>
  <c r="CG55" i="2" s="1"/>
  <c r="BZ56" i="2"/>
  <c r="CF56" i="2" s="1"/>
  <c r="CG56" i="2" s="1"/>
  <c r="BZ57" i="2"/>
  <c r="CF57" i="2" s="1"/>
  <c r="CG57" i="2" s="1"/>
  <c r="BZ58" i="2"/>
  <c r="CF58" i="2" s="1"/>
  <c r="CG58" i="2" s="1"/>
  <c r="BZ59" i="2"/>
  <c r="CF59" i="2" s="1"/>
  <c r="CG59" i="2" s="1"/>
  <c r="BZ60" i="2"/>
  <c r="CF60" i="2" s="1"/>
  <c r="CG60" i="2" s="1"/>
  <c r="BZ61" i="2"/>
  <c r="CF61" i="2" s="1"/>
  <c r="CG61" i="2" s="1"/>
  <c r="BZ62" i="2"/>
  <c r="CF62" i="2" s="1"/>
  <c r="CG62" i="2" s="1"/>
  <c r="BZ63" i="2"/>
  <c r="CF63" i="2" s="1"/>
  <c r="CG63" i="2" s="1"/>
  <c r="BZ64" i="2"/>
  <c r="CF64" i="2" s="1"/>
  <c r="CG64" i="2" s="1"/>
  <c r="BZ65" i="2"/>
  <c r="CF65" i="2" s="1"/>
  <c r="CG65" i="2" s="1"/>
  <c r="BZ66" i="2"/>
  <c r="CF66" i="2" s="1"/>
  <c r="CG66" i="2" s="1"/>
  <c r="BZ67" i="2"/>
  <c r="CF67" i="2" s="1"/>
  <c r="CG67" i="2" s="1"/>
  <c r="BZ68" i="2"/>
  <c r="CF68" i="2" s="1"/>
  <c r="CG68" i="2" s="1"/>
  <c r="BZ69" i="2"/>
  <c r="CF69" i="2" s="1"/>
  <c r="CG69" i="2" s="1"/>
  <c r="BZ70" i="2"/>
  <c r="CF70" i="2" s="1"/>
  <c r="CG70" i="2" s="1"/>
  <c r="BZ71" i="2"/>
  <c r="CF71" i="2" s="1"/>
  <c r="CG71" i="2" s="1"/>
  <c r="BZ72" i="2"/>
  <c r="CF72" i="2" s="1"/>
  <c r="CG72" i="2" s="1"/>
  <c r="BZ73" i="2"/>
  <c r="CF73" i="2" s="1"/>
  <c r="CG73" i="2" s="1"/>
  <c r="BZ74" i="2"/>
  <c r="CF74" i="2" s="1"/>
  <c r="CG74" i="2" s="1"/>
  <c r="BZ75" i="2"/>
  <c r="CF75" i="2" s="1"/>
  <c r="CG75" i="2" s="1"/>
  <c r="BZ76" i="2"/>
  <c r="CF76" i="2" s="1"/>
  <c r="CG76" i="2" s="1"/>
  <c r="BZ77" i="2"/>
  <c r="CF77" i="2" s="1"/>
  <c r="CG77" i="2" s="1"/>
  <c r="BZ78" i="2"/>
  <c r="CF78" i="2" s="1"/>
  <c r="CG78" i="2" s="1"/>
  <c r="BZ79" i="2"/>
  <c r="CF79" i="2" s="1"/>
  <c r="CG79" i="2" s="1"/>
  <c r="BZ80" i="2"/>
  <c r="CF80" i="2" s="1"/>
  <c r="CG80" i="2" s="1"/>
  <c r="BZ81" i="2"/>
  <c r="CF81" i="2" s="1"/>
  <c r="CG81" i="2" s="1"/>
  <c r="BZ82" i="2"/>
  <c r="CF82" i="2" s="1"/>
  <c r="CG82" i="2" s="1"/>
  <c r="BZ83" i="2"/>
  <c r="CF83" i="2" s="1"/>
  <c r="CG83" i="2" s="1"/>
  <c r="BZ84" i="2"/>
  <c r="CF84" i="2" s="1"/>
  <c r="CG84" i="2" s="1"/>
  <c r="BZ85" i="2"/>
  <c r="BZ86" i="2"/>
  <c r="BZ87" i="2"/>
  <c r="BZ88" i="2"/>
  <c r="BZ89" i="2"/>
  <c r="BZ90" i="2"/>
  <c r="BZ91" i="2"/>
  <c r="BZ92" i="2"/>
  <c r="BZ93" i="2"/>
  <c r="BZ94" i="2"/>
  <c r="BZ95" i="2"/>
  <c r="BZ96" i="2"/>
  <c r="BZ97" i="2"/>
  <c r="BZ98" i="2"/>
  <c r="BZ99" i="2"/>
  <c r="BZ100" i="2"/>
  <c r="BZ101" i="2"/>
  <c r="BZ102" i="2"/>
  <c r="BZ103" i="2"/>
  <c r="BZ104" i="2"/>
  <c r="BZ105" i="2"/>
  <c r="BZ106" i="2"/>
  <c r="BZ107" i="2"/>
  <c r="BZ108" i="2"/>
  <c r="BZ109" i="2"/>
  <c r="BZ110" i="2"/>
  <c r="BZ111" i="2"/>
  <c r="BZ112" i="2"/>
  <c r="BZ113" i="2"/>
  <c r="BZ114" i="2"/>
  <c r="CF114" i="2" s="1"/>
  <c r="CG114" i="2" s="1"/>
  <c r="BZ115" i="2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BY54" i="2"/>
  <c r="BY55" i="2"/>
  <c r="BY56" i="2"/>
  <c r="BY57" i="2"/>
  <c r="BY58" i="2"/>
  <c r="BY59" i="2"/>
  <c r="BY60" i="2"/>
  <c r="BY61" i="2"/>
  <c r="BY62" i="2"/>
  <c r="BY63" i="2"/>
  <c r="BY64" i="2"/>
  <c r="BY65" i="2"/>
  <c r="BY66" i="2"/>
  <c r="BY67" i="2"/>
  <c r="BY68" i="2"/>
  <c r="BY69" i="2"/>
  <c r="BY70" i="2"/>
  <c r="BY71" i="2"/>
  <c r="BY72" i="2"/>
  <c r="BY73" i="2"/>
  <c r="BY74" i="2"/>
  <c r="BY75" i="2"/>
  <c r="BY76" i="2"/>
  <c r="BY77" i="2"/>
  <c r="BY78" i="2"/>
  <c r="BY79" i="2"/>
  <c r="BY80" i="2"/>
  <c r="BY81" i="2"/>
  <c r="BY82" i="2"/>
  <c r="BY83" i="2"/>
  <c r="BY84" i="2"/>
  <c r="BY85" i="2"/>
  <c r="BY86" i="2"/>
  <c r="BY87" i="2"/>
  <c r="BY88" i="2"/>
  <c r="BY89" i="2"/>
  <c r="BY90" i="2"/>
  <c r="BY91" i="2"/>
  <c r="BY92" i="2"/>
  <c r="BY93" i="2"/>
  <c r="BY94" i="2"/>
  <c r="BY95" i="2"/>
  <c r="BY96" i="2"/>
  <c r="BY97" i="2"/>
  <c r="BY98" i="2"/>
  <c r="BY99" i="2"/>
  <c r="BY100" i="2"/>
  <c r="BY101" i="2"/>
  <c r="BY102" i="2"/>
  <c r="BY103" i="2"/>
  <c r="BY104" i="2"/>
  <c r="BY105" i="2"/>
  <c r="BY106" i="2"/>
  <c r="BY107" i="2"/>
  <c r="BY108" i="2"/>
  <c r="BY109" i="2"/>
  <c r="BY110" i="2"/>
  <c r="BY111" i="2"/>
  <c r="BY112" i="2"/>
  <c r="BY113" i="2"/>
  <c r="BY114" i="2"/>
  <c r="BY115" i="2"/>
  <c r="BK4" i="2"/>
  <c r="BR4" i="2" s="1"/>
  <c r="BK5" i="2"/>
  <c r="BR5" i="2" s="1"/>
  <c r="BK6" i="2"/>
  <c r="BR6" i="2" s="1"/>
  <c r="BK7" i="2"/>
  <c r="BR7" i="2" s="1"/>
  <c r="BK8" i="2"/>
  <c r="BR8" i="2" s="1"/>
  <c r="BK9" i="2"/>
  <c r="BR9" i="2" s="1"/>
  <c r="BK10" i="2"/>
  <c r="BR10" i="2" s="1"/>
  <c r="BK11" i="2"/>
  <c r="BR11" i="2" s="1"/>
  <c r="BK12" i="2"/>
  <c r="BR12" i="2" s="1"/>
  <c r="BK13" i="2"/>
  <c r="BR13" i="2" s="1"/>
  <c r="BK14" i="2"/>
  <c r="BR14" i="2" s="1"/>
  <c r="BK15" i="2"/>
  <c r="BR15" i="2" s="1"/>
  <c r="BK16" i="2"/>
  <c r="BR16" i="2" s="1"/>
  <c r="BK17" i="2"/>
  <c r="BR17" i="2" s="1"/>
  <c r="BK18" i="2"/>
  <c r="BR18" i="2" s="1"/>
  <c r="BK19" i="2"/>
  <c r="BR19" i="2" s="1"/>
  <c r="BK20" i="2"/>
  <c r="BR20" i="2" s="1"/>
  <c r="BK21" i="2"/>
  <c r="BR21" i="2" s="1"/>
  <c r="BK22" i="2"/>
  <c r="BR22" i="2" s="1"/>
  <c r="BK23" i="2"/>
  <c r="BR23" i="2" s="1"/>
  <c r="BK24" i="2"/>
  <c r="BR24" i="2" s="1"/>
  <c r="BK25" i="2"/>
  <c r="BR25" i="2" s="1"/>
  <c r="BK26" i="2"/>
  <c r="BR26" i="2" s="1"/>
  <c r="BK27" i="2"/>
  <c r="BR27" i="2" s="1"/>
  <c r="BK28" i="2"/>
  <c r="BR28" i="2" s="1"/>
  <c r="BK29" i="2"/>
  <c r="BR29" i="2" s="1"/>
  <c r="BK30" i="2"/>
  <c r="BR30" i="2" s="1"/>
  <c r="BK31" i="2"/>
  <c r="BR31" i="2" s="1"/>
  <c r="BK32" i="2"/>
  <c r="BR32" i="2" s="1"/>
  <c r="BK33" i="2"/>
  <c r="BR33" i="2" s="1"/>
  <c r="BK34" i="2"/>
  <c r="BR34" i="2" s="1"/>
  <c r="BK35" i="2"/>
  <c r="BR35" i="2" s="1"/>
  <c r="BK36" i="2"/>
  <c r="BR36" i="2" s="1"/>
  <c r="BK37" i="2"/>
  <c r="BR37" i="2" s="1"/>
  <c r="BK38" i="2"/>
  <c r="BR38" i="2" s="1"/>
  <c r="BK39" i="2"/>
  <c r="BR39" i="2" s="1"/>
  <c r="BK40" i="2"/>
  <c r="BR40" i="2" s="1"/>
  <c r="BK41" i="2"/>
  <c r="BR41" i="2" s="1"/>
  <c r="BK42" i="2"/>
  <c r="BR42" i="2" s="1"/>
  <c r="BK43" i="2"/>
  <c r="BR43" i="2" s="1"/>
  <c r="BK44" i="2"/>
  <c r="BR44" i="2" s="1"/>
  <c r="BK45" i="2"/>
  <c r="BR45" i="2" s="1"/>
  <c r="BK46" i="2"/>
  <c r="BR46" i="2" s="1"/>
  <c r="BK47" i="2"/>
  <c r="BR47" i="2" s="1"/>
  <c r="BK48" i="2"/>
  <c r="BR48" i="2" s="1"/>
  <c r="BK49" i="2"/>
  <c r="BR49" i="2" s="1"/>
  <c r="BK50" i="2"/>
  <c r="BR50" i="2" s="1"/>
  <c r="BK51" i="2"/>
  <c r="BR51" i="2" s="1"/>
  <c r="BK52" i="2"/>
  <c r="BR52" i="2" s="1"/>
  <c r="BK53" i="2"/>
  <c r="BR53" i="2" s="1"/>
  <c r="BK54" i="2"/>
  <c r="BR54" i="2" s="1"/>
  <c r="BK55" i="2"/>
  <c r="BR55" i="2" s="1"/>
  <c r="BK56" i="2"/>
  <c r="BR56" i="2" s="1"/>
  <c r="BK57" i="2"/>
  <c r="BR57" i="2" s="1"/>
  <c r="BK58" i="2"/>
  <c r="BR58" i="2" s="1"/>
  <c r="BK59" i="2"/>
  <c r="BR59" i="2" s="1"/>
  <c r="BK60" i="2"/>
  <c r="BR60" i="2" s="1"/>
  <c r="BK61" i="2"/>
  <c r="BR61" i="2" s="1"/>
  <c r="BK62" i="2"/>
  <c r="BR62" i="2" s="1"/>
  <c r="BK63" i="2"/>
  <c r="BR63" i="2" s="1"/>
  <c r="BK64" i="2"/>
  <c r="BR64" i="2" s="1"/>
  <c r="BK65" i="2"/>
  <c r="BR65" i="2" s="1"/>
  <c r="BK66" i="2"/>
  <c r="BR66" i="2" s="1"/>
  <c r="BK67" i="2"/>
  <c r="BR67" i="2" s="1"/>
  <c r="BK68" i="2"/>
  <c r="BR68" i="2" s="1"/>
  <c r="BK69" i="2"/>
  <c r="BR69" i="2" s="1"/>
  <c r="BK70" i="2"/>
  <c r="BR70" i="2" s="1"/>
  <c r="BK71" i="2"/>
  <c r="BR71" i="2" s="1"/>
  <c r="BK72" i="2"/>
  <c r="BR72" i="2" s="1"/>
  <c r="BK73" i="2"/>
  <c r="BR73" i="2" s="1"/>
  <c r="BK74" i="2"/>
  <c r="BR74" i="2" s="1"/>
  <c r="BK75" i="2"/>
  <c r="BR75" i="2" s="1"/>
  <c r="BK76" i="2"/>
  <c r="BR76" i="2" s="1"/>
  <c r="BK77" i="2"/>
  <c r="BR77" i="2" s="1"/>
  <c r="BK78" i="2"/>
  <c r="BR78" i="2" s="1"/>
  <c r="BK79" i="2"/>
  <c r="BR79" i="2" s="1"/>
  <c r="BK80" i="2"/>
  <c r="BR80" i="2" s="1"/>
  <c r="BK81" i="2"/>
  <c r="BR81" i="2" s="1"/>
  <c r="BK82" i="2"/>
  <c r="BR82" i="2" s="1"/>
  <c r="BK83" i="2"/>
  <c r="BR83" i="2" s="1"/>
  <c r="BK84" i="2"/>
  <c r="BR84" i="2" s="1"/>
  <c r="BK85" i="2"/>
  <c r="BK86" i="2"/>
  <c r="BR86" i="2" s="1"/>
  <c r="BK87" i="2"/>
  <c r="BR87" i="2" s="1"/>
  <c r="BK88" i="2"/>
  <c r="BR88" i="2" s="1"/>
  <c r="BK89" i="2"/>
  <c r="BR89" i="2" s="1"/>
  <c r="BK90" i="2"/>
  <c r="BR90" i="2" s="1"/>
  <c r="BK91" i="2"/>
  <c r="BR91" i="2" s="1"/>
  <c r="BK92" i="2"/>
  <c r="BR92" i="2" s="1"/>
  <c r="BK93" i="2"/>
  <c r="BR93" i="2" s="1"/>
  <c r="BK94" i="2"/>
  <c r="BR94" i="2" s="1"/>
  <c r="BK95" i="2"/>
  <c r="BR95" i="2" s="1"/>
  <c r="BK96" i="2"/>
  <c r="BR96" i="2" s="1"/>
  <c r="BK97" i="2"/>
  <c r="BR97" i="2" s="1"/>
  <c r="BK98" i="2"/>
  <c r="BR98" i="2" s="1"/>
  <c r="BK99" i="2"/>
  <c r="BR99" i="2" s="1"/>
  <c r="BK100" i="2"/>
  <c r="BR100" i="2" s="1"/>
  <c r="BK101" i="2"/>
  <c r="BR101" i="2" s="1"/>
  <c r="BK102" i="2"/>
  <c r="BR102" i="2" s="1"/>
  <c r="BK103" i="2"/>
  <c r="BR103" i="2" s="1"/>
  <c r="BK104" i="2"/>
  <c r="BR104" i="2" s="1"/>
  <c r="BK105" i="2"/>
  <c r="BR105" i="2" s="1"/>
  <c r="BK106" i="2"/>
  <c r="BR106" i="2" s="1"/>
  <c r="BK107" i="2"/>
  <c r="BR107" i="2" s="1"/>
  <c r="BK108" i="2"/>
  <c r="BR108" i="2" s="1"/>
  <c r="BK109" i="2"/>
  <c r="BR109" i="2" s="1"/>
  <c r="BJ4" i="2"/>
  <c r="BQ4" i="2" s="1"/>
  <c r="BJ5" i="2"/>
  <c r="BQ5" i="2" s="1"/>
  <c r="BJ6" i="2"/>
  <c r="BQ6" i="2" s="1"/>
  <c r="BJ7" i="2"/>
  <c r="BQ7" i="2" s="1"/>
  <c r="BJ8" i="2"/>
  <c r="BQ8" i="2" s="1"/>
  <c r="BJ9" i="2"/>
  <c r="BQ9" i="2" s="1"/>
  <c r="BJ10" i="2"/>
  <c r="BQ10" i="2" s="1"/>
  <c r="BJ11" i="2"/>
  <c r="BQ11" i="2" s="1"/>
  <c r="BJ12" i="2"/>
  <c r="BQ12" i="2" s="1"/>
  <c r="BJ13" i="2"/>
  <c r="BQ13" i="2" s="1"/>
  <c r="BJ14" i="2"/>
  <c r="BQ14" i="2" s="1"/>
  <c r="BJ15" i="2"/>
  <c r="BQ15" i="2" s="1"/>
  <c r="BJ16" i="2"/>
  <c r="BQ16" i="2" s="1"/>
  <c r="BJ17" i="2"/>
  <c r="BQ17" i="2" s="1"/>
  <c r="BJ18" i="2"/>
  <c r="BQ18" i="2" s="1"/>
  <c r="BJ19" i="2"/>
  <c r="BQ19" i="2" s="1"/>
  <c r="BJ20" i="2"/>
  <c r="BQ20" i="2" s="1"/>
  <c r="BJ21" i="2"/>
  <c r="BQ21" i="2" s="1"/>
  <c r="BJ22" i="2"/>
  <c r="BQ22" i="2" s="1"/>
  <c r="BJ23" i="2"/>
  <c r="BQ23" i="2" s="1"/>
  <c r="BJ24" i="2"/>
  <c r="BQ24" i="2" s="1"/>
  <c r="BJ25" i="2"/>
  <c r="BQ25" i="2" s="1"/>
  <c r="BJ26" i="2"/>
  <c r="BQ26" i="2" s="1"/>
  <c r="BJ27" i="2"/>
  <c r="BQ27" i="2" s="1"/>
  <c r="BJ28" i="2"/>
  <c r="BQ28" i="2" s="1"/>
  <c r="BJ29" i="2"/>
  <c r="BQ29" i="2" s="1"/>
  <c r="BJ30" i="2"/>
  <c r="BQ30" i="2" s="1"/>
  <c r="BJ31" i="2"/>
  <c r="BQ31" i="2" s="1"/>
  <c r="BJ32" i="2"/>
  <c r="BQ32" i="2" s="1"/>
  <c r="BJ33" i="2"/>
  <c r="BQ33" i="2" s="1"/>
  <c r="BJ34" i="2"/>
  <c r="BQ34" i="2" s="1"/>
  <c r="BJ35" i="2"/>
  <c r="BQ35" i="2" s="1"/>
  <c r="BJ36" i="2"/>
  <c r="BQ36" i="2" s="1"/>
  <c r="BJ37" i="2"/>
  <c r="BQ37" i="2" s="1"/>
  <c r="BJ38" i="2"/>
  <c r="BQ38" i="2" s="1"/>
  <c r="BJ39" i="2"/>
  <c r="BQ39" i="2" s="1"/>
  <c r="BJ40" i="2"/>
  <c r="BQ40" i="2" s="1"/>
  <c r="BJ41" i="2"/>
  <c r="BQ41" i="2" s="1"/>
  <c r="BJ42" i="2"/>
  <c r="BQ42" i="2" s="1"/>
  <c r="BJ43" i="2"/>
  <c r="BQ43" i="2" s="1"/>
  <c r="BJ44" i="2"/>
  <c r="BQ44" i="2" s="1"/>
  <c r="BJ45" i="2"/>
  <c r="BQ45" i="2" s="1"/>
  <c r="BJ46" i="2"/>
  <c r="BQ46" i="2" s="1"/>
  <c r="BJ47" i="2"/>
  <c r="BQ47" i="2" s="1"/>
  <c r="BJ48" i="2"/>
  <c r="BQ48" i="2" s="1"/>
  <c r="BJ49" i="2"/>
  <c r="BQ49" i="2" s="1"/>
  <c r="BJ50" i="2"/>
  <c r="BQ50" i="2" s="1"/>
  <c r="BJ51" i="2"/>
  <c r="BQ51" i="2" s="1"/>
  <c r="BJ52" i="2"/>
  <c r="BQ52" i="2" s="1"/>
  <c r="BJ53" i="2"/>
  <c r="BQ53" i="2" s="1"/>
  <c r="BJ54" i="2"/>
  <c r="BQ54" i="2" s="1"/>
  <c r="BJ55" i="2"/>
  <c r="BQ55" i="2" s="1"/>
  <c r="BJ56" i="2"/>
  <c r="BQ56" i="2" s="1"/>
  <c r="BJ57" i="2"/>
  <c r="BQ57" i="2" s="1"/>
  <c r="BJ58" i="2"/>
  <c r="BQ58" i="2" s="1"/>
  <c r="BJ59" i="2"/>
  <c r="BQ59" i="2" s="1"/>
  <c r="BJ60" i="2"/>
  <c r="BQ60" i="2" s="1"/>
  <c r="BJ61" i="2"/>
  <c r="BQ61" i="2" s="1"/>
  <c r="BJ62" i="2"/>
  <c r="BQ62" i="2" s="1"/>
  <c r="BJ63" i="2"/>
  <c r="BQ63" i="2" s="1"/>
  <c r="BJ64" i="2"/>
  <c r="BQ64" i="2" s="1"/>
  <c r="BJ65" i="2"/>
  <c r="BQ65" i="2" s="1"/>
  <c r="BJ66" i="2"/>
  <c r="BQ66" i="2" s="1"/>
  <c r="BJ67" i="2"/>
  <c r="BQ67" i="2" s="1"/>
  <c r="BJ68" i="2"/>
  <c r="BQ68" i="2" s="1"/>
  <c r="BJ69" i="2"/>
  <c r="BQ69" i="2" s="1"/>
  <c r="BJ70" i="2"/>
  <c r="BQ70" i="2" s="1"/>
  <c r="BJ71" i="2"/>
  <c r="BQ71" i="2" s="1"/>
  <c r="BJ72" i="2"/>
  <c r="BQ72" i="2" s="1"/>
  <c r="BJ73" i="2"/>
  <c r="BQ73" i="2" s="1"/>
  <c r="BJ74" i="2"/>
  <c r="BQ74" i="2" s="1"/>
  <c r="BJ75" i="2"/>
  <c r="BQ75" i="2" s="1"/>
  <c r="BJ76" i="2"/>
  <c r="BQ76" i="2" s="1"/>
  <c r="BJ77" i="2"/>
  <c r="BQ77" i="2" s="1"/>
  <c r="BJ78" i="2"/>
  <c r="BQ78" i="2" s="1"/>
  <c r="BJ79" i="2"/>
  <c r="BQ79" i="2" s="1"/>
  <c r="BJ80" i="2"/>
  <c r="BQ80" i="2" s="1"/>
  <c r="BJ81" i="2"/>
  <c r="BQ81" i="2" s="1"/>
  <c r="BJ82" i="2"/>
  <c r="BQ82" i="2" s="1"/>
  <c r="BJ83" i="2"/>
  <c r="BQ83" i="2" s="1"/>
  <c r="BJ84" i="2"/>
  <c r="BQ84" i="2" s="1"/>
  <c r="BJ86" i="2"/>
  <c r="BQ86" i="2" s="1"/>
  <c r="BJ87" i="2"/>
  <c r="BQ87" i="2" s="1"/>
  <c r="BJ88" i="2"/>
  <c r="BQ88" i="2" s="1"/>
  <c r="BJ89" i="2"/>
  <c r="BQ89" i="2" s="1"/>
  <c r="BJ90" i="2"/>
  <c r="BQ90" i="2" s="1"/>
  <c r="BJ91" i="2"/>
  <c r="BQ91" i="2" s="1"/>
  <c r="BJ92" i="2"/>
  <c r="BQ92" i="2" s="1"/>
  <c r="BJ93" i="2"/>
  <c r="BQ93" i="2" s="1"/>
  <c r="BJ94" i="2"/>
  <c r="BQ94" i="2" s="1"/>
  <c r="BJ95" i="2"/>
  <c r="BQ95" i="2" s="1"/>
  <c r="BJ96" i="2"/>
  <c r="BQ96" i="2" s="1"/>
  <c r="BJ97" i="2"/>
  <c r="BQ97" i="2" s="1"/>
  <c r="BJ98" i="2"/>
  <c r="BQ98" i="2" s="1"/>
  <c r="BJ99" i="2"/>
  <c r="BQ99" i="2" s="1"/>
  <c r="BJ100" i="2"/>
  <c r="BQ100" i="2" s="1"/>
  <c r="BJ101" i="2"/>
  <c r="BQ101" i="2" s="1"/>
  <c r="BJ102" i="2"/>
  <c r="BQ102" i="2" s="1"/>
  <c r="BJ103" i="2"/>
  <c r="BQ103" i="2" s="1"/>
  <c r="BJ104" i="2"/>
  <c r="BQ104" i="2" s="1"/>
  <c r="BJ105" i="2"/>
  <c r="BQ105" i="2" s="1"/>
  <c r="BJ106" i="2"/>
  <c r="BQ106" i="2" s="1"/>
  <c r="BJ107" i="2"/>
  <c r="BQ107" i="2" s="1"/>
  <c r="BJ108" i="2"/>
  <c r="BQ108" i="2" s="1"/>
  <c r="BJ109" i="2"/>
  <c r="BQ109" i="2" s="1"/>
  <c r="BI4" i="2"/>
  <c r="BP4" i="2" s="1"/>
  <c r="BI5" i="2"/>
  <c r="BP5" i="2" s="1"/>
  <c r="BI6" i="2"/>
  <c r="BP6" i="2" s="1"/>
  <c r="BI7" i="2"/>
  <c r="BP7" i="2" s="1"/>
  <c r="BI8" i="2"/>
  <c r="BP8" i="2" s="1"/>
  <c r="BI9" i="2"/>
  <c r="BP9" i="2" s="1"/>
  <c r="BI10" i="2"/>
  <c r="BP10" i="2" s="1"/>
  <c r="BI11" i="2"/>
  <c r="BP11" i="2" s="1"/>
  <c r="BI12" i="2"/>
  <c r="BP12" i="2" s="1"/>
  <c r="BI13" i="2"/>
  <c r="BP13" i="2" s="1"/>
  <c r="BI14" i="2"/>
  <c r="BP14" i="2" s="1"/>
  <c r="BI15" i="2"/>
  <c r="BP15" i="2" s="1"/>
  <c r="BI16" i="2"/>
  <c r="BP16" i="2" s="1"/>
  <c r="BI17" i="2"/>
  <c r="BP17" i="2" s="1"/>
  <c r="BI18" i="2"/>
  <c r="BP18" i="2" s="1"/>
  <c r="BI19" i="2"/>
  <c r="BP19" i="2" s="1"/>
  <c r="BI20" i="2"/>
  <c r="BP20" i="2" s="1"/>
  <c r="BI21" i="2"/>
  <c r="BP21" i="2" s="1"/>
  <c r="BI22" i="2"/>
  <c r="BP22" i="2" s="1"/>
  <c r="BI23" i="2"/>
  <c r="BP23" i="2" s="1"/>
  <c r="BI24" i="2"/>
  <c r="BP24" i="2" s="1"/>
  <c r="BI25" i="2"/>
  <c r="BP25" i="2" s="1"/>
  <c r="BI26" i="2"/>
  <c r="BP26" i="2" s="1"/>
  <c r="BI27" i="2"/>
  <c r="BP27" i="2" s="1"/>
  <c r="BI28" i="2"/>
  <c r="BP28" i="2" s="1"/>
  <c r="BI29" i="2"/>
  <c r="BP29" i="2" s="1"/>
  <c r="BI30" i="2"/>
  <c r="BP30" i="2" s="1"/>
  <c r="BI31" i="2"/>
  <c r="BP31" i="2" s="1"/>
  <c r="BI32" i="2"/>
  <c r="BP32" i="2" s="1"/>
  <c r="BI33" i="2"/>
  <c r="BP33" i="2" s="1"/>
  <c r="BI34" i="2"/>
  <c r="BP34" i="2" s="1"/>
  <c r="BI35" i="2"/>
  <c r="BP35" i="2" s="1"/>
  <c r="BI36" i="2"/>
  <c r="BP36" i="2" s="1"/>
  <c r="BI37" i="2"/>
  <c r="BP37" i="2" s="1"/>
  <c r="BI38" i="2"/>
  <c r="BP38" i="2" s="1"/>
  <c r="BI39" i="2"/>
  <c r="BP39" i="2" s="1"/>
  <c r="BI40" i="2"/>
  <c r="BP40" i="2" s="1"/>
  <c r="BI41" i="2"/>
  <c r="BP41" i="2" s="1"/>
  <c r="BI42" i="2"/>
  <c r="BP42" i="2" s="1"/>
  <c r="BI43" i="2"/>
  <c r="BP43" i="2" s="1"/>
  <c r="BI44" i="2"/>
  <c r="BP44" i="2" s="1"/>
  <c r="BI45" i="2"/>
  <c r="BP45" i="2" s="1"/>
  <c r="BI46" i="2"/>
  <c r="BP46" i="2" s="1"/>
  <c r="BI47" i="2"/>
  <c r="BP47" i="2" s="1"/>
  <c r="BI48" i="2"/>
  <c r="BP48" i="2" s="1"/>
  <c r="BI49" i="2"/>
  <c r="BP49" i="2" s="1"/>
  <c r="BI50" i="2"/>
  <c r="BP50" i="2" s="1"/>
  <c r="BI51" i="2"/>
  <c r="BP51" i="2" s="1"/>
  <c r="BI52" i="2"/>
  <c r="BP52" i="2" s="1"/>
  <c r="BI53" i="2"/>
  <c r="BP53" i="2" s="1"/>
  <c r="BI54" i="2"/>
  <c r="BP54" i="2" s="1"/>
  <c r="BI55" i="2"/>
  <c r="BP55" i="2" s="1"/>
  <c r="BI56" i="2"/>
  <c r="BP56" i="2" s="1"/>
  <c r="BI57" i="2"/>
  <c r="BP57" i="2" s="1"/>
  <c r="BI58" i="2"/>
  <c r="BP58" i="2" s="1"/>
  <c r="BI59" i="2"/>
  <c r="BP59" i="2" s="1"/>
  <c r="BI60" i="2"/>
  <c r="BP60" i="2" s="1"/>
  <c r="BI61" i="2"/>
  <c r="BP61" i="2" s="1"/>
  <c r="BI62" i="2"/>
  <c r="BP62" i="2" s="1"/>
  <c r="BI63" i="2"/>
  <c r="BP63" i="2" s="1"/>
  <c r="BI64" i="2"/>
  <c r="BP64" i="2" s="1"/>
  <c r="BI65" i="2"/>
  <c r="BP65" i="2" s="1"/>
  <c r="BI66" i="2"/>
  <c r="BP66" i="2" s="1"/>
  <c r="BI67" i="2"/>
  <c r="BP67" i="2" s="1"/>
  <c r="BI68" i="2"/>
  <c r="BP68" i="2" s="1"/>
  <c r="BI69" i="2"/>
  <c r="BP69" i="2" s="1"/>
  <c r="BI70" i="2"/>
  <c r="BP70" i="2" s="1"/>
  <c r="BI71" i="2"/>
  <c r="BP71" i="2" s="1"/>
  <c r="BI72" i="2"/>
  <c r="BP72" i="2" s="1"/>
  <c r="BI73" i="2"/>
  <c r="BP73" i="2" s="1"/>
  <c r="BI74" i="2"/>
  <c r="BP74" i="2" s="1"/>
  <c r="BI75" i="2"/>
  <c r="BP75" i="2" s="1"/>
  <c r="BI76" i="2"/>
  <c r="BP76" i="2" s="1"/>
  <c r="BI77" i="2"/>
  <c r="BP77" i="2" s="1"/>
  <c r="BI78" i="2"/>
  <c r="BP78" i="2" s="1"/>
  <c r="BI79" i="2"/>
  <c r="BP79" i="2" s="1"/>
  <c r="BI80" i="2"/>
  <c r="BP80" i="2" s="1"/>
  <c r="BI81" i="2"/>
  <c r="BP81" i="2" s="1"/>
  <c r="BI82" i="2"/>
  <c r="BP82" i="2" s="1"/>
  <c r="BI83" i="2"/>
  <c r="BP83" i="2" s="1"/>
  <c r="BI84" i="2"/>
  <c r="BP84" i="2" s="1"/>
  <c r="BI85" i="2"/>
  <c r="BI86" i="2"/>
  <c r="BP86" i="2" s="1"/>
  <c r="BI87" i="2"/>
  <c r="BP87" i="2" s="1"/>
  <c r="BI88" i="2"/>
  <c r="BP88" i="2" s="1"/>
  <c r="BI89" i="2"/>
  <c r="BP89" i="2" s="1"/>
  <c r="BI90" i="2"/>
  <c r="BP90" i="2" s="1"/>
  <c r="BI91" i="2"/>
  <c r="BP91" i="2" s="1"/>
  <c r="BI92" i="2"/>
  <c r="BP92" i="2" s="1"/>
  <c r="BI93" i="2"/>
  <c r="BP93" i="2" s="1"/>
  <c r="BI94" i="2"/>
  <c r="BP94" i="2" s="1"/>
  <c r="BI95" i="2"/>
  <c r="BP95" i="2" s="1"/>
  <c r="BI96" i="2"/>
  <c r="BP96" i="2" s="1"/>
  <c r="BI97" i="2"/>
  <c r="BP97" i="2" s="1"/>
  <c r="BI98" i="2"/>
  <c r="BP98" i="2" s="1"/>
  <c r="BI99" i="2"/>
  <c r="BP99" i="2" s="1"/>
  <c r="BI100" i="2"/>
  <c r="BP100" i="2" s="1"/>
  <c r="BI101" i="2"/>
  <c r="BP101" i="2" s="1"/>
  <c r="BI102" i="2"/>
  <c r="BP102" i="2" s="1"/>
  <c r="BI103" i="2"/>
  <c r="BP103" i="2" s="1"/>
  <c r="BI104" i="2"/>
  <c r="BP104" i="2" s="1"/>
  <c r="BI105" i="2"/>
  <c r="BP105" i="2" s="1"/>
  <c r="BI106" i="2"/>
  <c r="BP106" i="2" s="1"/>
  <c r="BI107" i="2"/>
  <c r="BP107" i="2" s="1"/>
  <c r="BI108" i="2"/>
  <c r="BP108" i="2" s="1"/>
  <c r="BI109" i="2"/>
  <c r="BP109" i="2" s="1"/>
  <c r="BH4" i="2"/>
  <c r="BO4" i="2" s="1"/>
  <c r="BH5" i="2"/>
  <c r="BO5" i="2" s="1"/>
  <c r="BH6" i="2"/>
  <c r="BO6" i="2" s="1"/>
  <c r="BH7" i="2"/>
  <c r="BO7" i="2" s="1"/>
  <c r="BH8" i="2"/>
  <c r="BO8" i="2" s="1"/>
  <c r="BH9" i="2"/>
  <c r="BO9" i="2" s="1"/>
  <c r="BH10" i="2"/>
  <c r="BO10" i="2" s="1"/>
  <c r="BH11" i="2"/>
  <c r="BO11" i="2" s="1"/>
  <c r="BH12" i="2"/>
  <c r="BO12" i="2" s="1"/>
  <c r="BH13" i="2"/>
  <c r="BO13" i="2" s="1"/>
  <c r="BH14" i="2"/>
  <c r="BO14" i="2" s="1"/>
  <c r="BH15" i="2"/>
  <c r="BO15" i="2" s="1"/>
  <c r="BH16" i="2"/>
  <c r="BO16" i="2" s="1"/>
  <c r="BH17" i="2"/>
  <c r="BO17" i="2" s="1"/>
  <c r="BH18" i="2"/>
  <c r="BO18" i="2" s="1"/>
  <c r="BH19" i="2"/>
  <c r="BO19" i="2" s="1"/>
  <c r="BH20" i="2"/>
  <c r="BO20" i="2" s="1"/>
  <c r="BH21" i="2"/>
  <c r="BO21" i="2" s="1"/>
  <c r="BH22" i="2"/>
  <c r="BO22" i="2" s="1"/>
  <c r="BH23" i="2"/>
  <c r="BO23" i="2" s="1"/>
  <c r="BH24" i="2"/>
  <c r="BO24" i="2" s="1"/>
  <c r="BH25" i="2"/>
  <c r="BO25" i="2" s="1"/>
  <c r="BH26" i="2"/>
  <c r="BO26" i="2" s="1"/>
  <c r="BH27" i="2"/>
  <c r="BO27" i="2" s="1"/>
  <c r="BH28" i="2"/>
  <c r="BO28" i="2" s="1"/>
  <c r="BH29" i="2"/>
  <c r="BO29" i="2" s="1"/>
  <c r="BH30" i="2"/>
  <c r="BO30" i="2" s="1"/>
  <c r="BH31" i="2"/>
  <c r="BO31" i="2" s="1"/>
  <c r="BH32" i="2"/>
  <c r="BO32" i="2" s="1"/>
  <c r="BH33" i="2"/>
  <c r="BO33" i="2" s="1"/>
  <c r="BH34" i="2"/>
  <c r="BO34" i="2" s="1"/>
  <c r="BH35" i="2"/>
  <c r="BO35" i="2" s="1"/>
  <c r="BH36" i="2"/>
  <c r="BO36" i="2" s="1"/>
  <c r="BH37" i="2"/>
  <c r="BO37" i="2" s="1"/>
  <c r="BH38" i="2"/>
  <c r="BO38" i="2" s="1"/>
  <c r="BH39" i="2"/>
  <c r="BO39" i="2" s="1"/>
  <c r="BH40" i="2"/>
  <c r="BO40" i="2" s="1"/>
  <c r="BH41" i="2"/>
  <c r="BO41" i="2" s="1"/>
  <c r="BH42" i="2"/>
  <c r="BO42" i="2" s="1"/>
  <c r="BH43" i="2"/>
  <c r="BO43" i="2" s="1"/>
  <c r="BH44" i="2"/>
  <c r="BO44" i="2" s="1"/>
  <c r="BH45" i="2"/>
  <c r="BO45" i="2" s="1"/>
  <c r="BH46" i="2"/>
  <c r="BO46" i="2" s="1"/>
  <c r="BH47" i="2"/>
  <c r="BO47" i="2" s="1"/>
  <c r="BH48" i="2"/>
  <c r="BO48" i="2" s="1"/>
  <c r="BH49" i="2"/>
  <c r="BO49" i="2" s="1"/>
  <c r="BH50" i="2"/>
  <c r="BO50" i="2" s="1"/>
  <c r="BH51" i="2"/>
  <c r="BO51" i="2" s="1"/>
  <c r="BH52" i="2"/>
  <c r="BO52" i="2" s="1"/>
  <c r="BH53" i="2"/>
  <c r="BO53" i="2" s="1"/>
  <c r="BH54" i="2"/>
  <c r="BO54" i="2" s="1"/>
  <c r="BH55" i="2"/>
  <c r="BO55" i="2" s="1"/>
  <c r="BH56" i="2"/>
  <c r="BO56" i="2" s="1"/>
  <c r="BH57" i="2"/>
  <c r="BO57" i="2" s="1"/>
  <c r="BH58" i="2"/>
  <c r="BO58" i="2" s="1"/>
  <c r="BH59" i="2"/>
  <c r="BO59" i="2" s="1"/>
  <c r="BH60" i="2"/>
  <c r="BO60" i="2" s="1"/>
  <c r="BH61" i="2"/>
  <c r="BO61" i="2" s="1"/>
  <c r="BH62" i="2"/>
  <c r="BO62" i="2" s="1"/>
  <c r="BH63" i="2"/>
  <c r="BO63" i="2" s="1"/>
  <c r="BH64" i="2"/>
  <c r="BO64" i="2" s="1"/>
  <c r="BH65" i="2"/>
  <c r="BO65" i="2" s="1"/>
  <c r="BH66" i="2"/>
  <c r="BO66" i="2" s="1"/>
  <c r="BH67" i="2"/>
  <c r="BO67" i="2" s="1"/>
  <c r="BH68" i="2"/>
  <c r="BO68" i="2" s="1"/>
  <c r="BH69" i="2"/>
  <c r="BO69" i="2" s="1"/>
  <c r="BH70" i="2"/>
  <c r="BO70" i="2" s="1"/>
  <c r="BH71" i="2"/>
  <c r="BO71" i="2" s="1"/>
  <c r="BH72" i="2"/>
  <c r="BO72" i="2" s="1"/>
  <c r="BH73" i="2"/>
  <c r="BO73" i="2" s="1"/>
  <c r="BH74" i="2"/>
  <c r="BO74" i="2" s="1"/>
  <c r="BH75" i="2"/>
  <c r="BO75" i="2" s="1"/>
  <c r="BH76" i="2"/>
  <c r="BO76" i="2" s="1"/>
  <c r="BH77" i="2"/>
  <c r="BO77" i="2" s="1"/>
  <c r="BH78" i="2"/>
  <c r="BO78" i="2" s="1"/>
  <c r="BH79" i="2"/>
  <c r="BO79" i="2" s="1"/>
  <c r="BH80" i="2"/>
  <c r="BO80" i="2" s="1"/>
  <c r="BH81" i="2"/>
  <c r="BO81" i="2" s="1"/>
  <c r="BH82" i="2"/>
  <c r="BO82" i="2" s="1"/>
  <c r="BH83" i="2"/>
  <c r="BO83" i="2" s="1"/>
  <c r="BH84" i="2"/>
  <c r="BO84" i="2" s="1"/>
  <c r="BH86" i="2"/>
  <c r="BO86" i="2" s="1"/>
  <c r="BH87" i="2"/>
  <c r="BO87" i="2" s="1"/>
  <c r="BH88" i="2"/>
  <c r="BO88" i="2" s="1"/>
  <c r="BH89" i="2"/>
  <c r="BO89" i="2" s="1"/>
  <c r="BH90" i="2"/>
  <c r="BO90" i="2" s="1"/>
  <c r="BH91" i="2"/>
  <c r="BO91" i="2" s="1"/>
  <c r="BH92" i="2"/>
  <c r="BO92" i="2" s="1"/>
  <c r="BH93" i="2"/>
  <c r="BO93" i="2" s="1"/>
  <c r="BH94" i="2"/>
  <c r="BO94" i="2" s="1"/>
  <c r="BH95" i="2"/>
  <c r="BO95" i="2" s="1"/>
  <c r="BH96" i="2"/>
  <c r="BO96" i="2" s="1"/>
  <c r="BH97" i="2"/>
  <c r="BO97" i="2" s="1"/>
  <c r="BH98" i="2"/>
  <c r="BO98" i="2" s="1"/>
  <c r="BH99" i="2"/>
  <c r="BO99" i="2" s="1"/>
  <c r="BH100" i="2"/>
  <c r="BO100" i="2" s="1"/>
  <c r="BH101" i="2"/>
  <c r="BO101" i="2" s="1"/>
  <c r="BH102" i="2"/>
  <c r="BO102" i="2" s="1"/>
  <c r="BH103" i="2"/>
  <c r="BO103" i="2" s="1"/>
  <c r="BH104" i="2"/>
  <c r="BO104" i="2" s="1"/>
  <c r="BH105" i="2"/>
  <c r="BO105" i="2" s="1"/>
  <c r="BH106" i="2"/>
  <c r="BO106" i="2" s="1"/>
  <c r="BH107" i="2"/>
  <c r="BO107" i="2" s="1"/>
  <c r="BH108" i="2"/>
  <c r="BO108" i="2" s="1"/>
  <c r="BH109" i="2"/>
  <c r="BO109" i="2" s="1"/>
  <c r="BG4" i="2"/>
  <c r="BN4" i="2" s="1"/>
  <c r="BG5" i="2"/>
  <c r="BN5" i="2" s="1"/>
  <c r="BG6" i="2"/>
  <c r="BN6" i="2" s="1"/>
  <c r="BG7" i="2"/>
  <c r="BN7" i="2" s="1"/>
  <c r="BG8" i="2"/>
  <c r="BN8" i="2" s="1"/>
  <c r="BG9" i="2"/>
  <c r="BN9" i="2" s="1"/>
  <c r="BG10" i="2"/>
  <c r="BN10" i="2" s="1"/>
  <c r="BG11" i="2"/>
  <c r="BN11" i="2" s="1"/>
  <c r="BG12" i="2"/>
  <c r="BN12" i="2" s="1"/>
  <c r="BG13" i="2"/>
  <c r="BN13" i="2" s="1"/>
  <c r="BG14" i="2"/>
  <c r="BN14" i="2" s="1"/>
  <c r="BG15" i="2"/>
  <c r="BN15" i="2" s="1"/>
  <c r="BG16" i="2"/>
  <c r="BN16" i="2" s="1"/>
  <c r="BG17" i="2"/>
  <c r="BN17" i="2" s="1"/>
  <c r="BG18" i="2"/>
  <c r="BN18" i="2" s="1"/>
  <c r="BG19" i="2"/>
  <c r="BN19" i="2" s="1"/>
  <c r="BG20" i="2"/>
  <c r="BN20" i="2" s="1"/>
  <c r="BG21" i="2"/>
  <c r="BN21" i="2" s="1"/>
  <c r="BG22" i="2"/>
  <c r="BN22" i="2" s="1"/>
  <c r="BG23" i="2"/>
  <c r="BN23" i="2" s="1"/>
  <c r="BG24" i="2"/>
  <c r="BN24" i="2" s="1"/>
  <c r="BG25" i="2"/>
  <c r="BN25" i="2" s="1"/>
  <c r="BG26" i="2"/>
  <c r="BN26" i="2" s="1"/>
  <c r="BG27" i="2"/>
  <c r="BN27" i="2" s="1"/>
  <c r="BG28" i="2"/>
  <c r="BN28" i="2" s="1"/>
  <c r="BG29" i="2"/>
  <c r="BN29" i="2" s="1"/>
  <c r="BG30" i="2"/>
  <c r="BN30" i="2" s="1"/>
  <c r="BG31" i="2"/>
  <c r="BN31" i="2" s="1"/>
  <c r="BG32" i="2"/>
  <c r="BN32" i="2" s="1"/>
  <c r="BG33" i="2"/>
  <c r="BN33" i="2" s="1"/>
  <c r="BG34" i="2"/>
  <c r="BN34" i="2" s="1"/>
  <c r="BG35" i="2"/>
  <c r="BN35" i="2" s="1"/>
  <c r="BG36" i="2"/>
  <c r="BN36" i="2" s="1"/>
  <c r="BG37" i="2"/>
  <c r="BN37" i="2" s="1"/>
  <c r="BG38" i="2"/>
  <c r="BN38" i="2" s="1"/>
  <c r="BG39" i="2"/>
  <c r="BN39" i="2" s="1"/>
  <c r="BG40" i="2"/>
  <c r="BN40" i="2" s="1"/>
  <c r="BG41" i="2"/>
  <c r="BN41" i="2" s="1"/>
  <c r="BG42" i="2"/>
  <c r="BN42" i="2" s="1"/>
  <c r="BG43" i="2"/>
  <c r="BN43" i="2" s="1"/>
  <c r="BG44" i="2"/>
  <c r="BN44" i="2" s="1"/>
  <c r="BG45" i="2"/>
  <c r="BN45" i="2" s="1"/>
  <c r="BG46" i="2"/>
  <c r="BN46" i="2" s="1"/>
  <c r="BG47" i="2"/>
  <c r="BN47" i="2" s="1"/>
  <c r="BG48" i="2"/>
  <c r="BN48" i="2" s="1"/>
  <c r="BG49" i="2"/>
  <c r="BN49" i="2" s="1"/>
  <c r="BG50" i="2"/>
  <c r="BN50" i="2" s="1"/>
  <c r="BG51" i="2"/>
  <c r="BN51" i="2" s="1"/>
  <c r="BG52" i="2"/>
  <c r="BN52" i="2" s="1"/>
  <c r="BG53" i="2"/>
  <c r="BN53" i="2" s="1"/>
  <c r="BG54" i="2"/>
  <c r="BN54" i="2" s="1"/>
  <c r="BG55" i="2"/>
  <c r="BN55" i="2" s="1"/>
  <c r="BG56" i="2"/>
  <c r="BN56" i="2" s="1"/>
  <c r="BG57" i="2"/>
  <c r="BN57" i="2" s="1"/>
  <c r="BG58" i="2"/>
  <c r="BN58" i="2" s="1"/>
  <c r="BG59" i="2"/>
  <c r="BN59" i="2" s="1"/>
  <c r="BG60" i="2"/>
  <c r="BN60" i="2" s="1"/>
  <c r="BG61" i="2"/>
  <c r="BN61" i="2" s="1"/>
  <c r="BG62" i="2"/>
  <c r="BN62" i="2" s="1"/>
  <c r="BG63" i="2"/>
  <c r="BN63" i="2" s="1"/>
  <c r="BG64" i="2"/>
  <c r="BN64" i="2" s="1"/>
  <c r="BG65" i="2"/>
  <c r="BN65" i="2" s="1"/>
  <c r="BG66" i="2"/>
  <c r="BN66" i="2" s="1"/>
  <c r="BG67" i="2"/>
  <c r="BN67" i="2" s="1"/>
  <c r="BG68" i="2"/>
  <c r="BN68" i="2" s="1"/>
  <c r="BG69" i="2"/>
  <c r="BN69" i="2" s="1"/>
  <c r="BG70" i="2"/>
  <c r="BN70" i="2" s="1"/>
  <c r="BG71" i="2"/>
  <c r="BN71" i="2" s="1"/>
  <c r="BG72" i="2"/>
  <c r="BN72" i="2" s="1"/>
  <c r="BG73" i="2"/>
  <c r="BN73" i="2" s="1"/>
  <c r="BG74" i="2"/>
  <c r="BN74" i="2" s="1"/>
  <c r="BG75" i="2"/>
  <c r="BN75" i="2" s="1"/>
  <c r="BG76" i="2"/>
  <c r="BN76" i="2" s="1"/>
  <c r="BG77" i="2"/>
  <c r="BN77" i="2" s="1"/>
  <c r="BG78" i="2"/>
  <c r="BN78" i="2" s="1"/>
  <c r="BG79" i="2"/>
  <c r="BN79" i="2" s="1"/>
  <c r="BG80" i="2"/>
  <c r="BN80" i="2" s="1"/>
  <c r="BG81" i="2"/>
  <c r="BN81" i="2" s="1"/>
  <c r="BG82" i="2"/>
  <c r="BN82" i="2" s="1"/>
  <c r="BG83" i="2"/>
  <c r="BN83" i="2" s="1"/>
  <c r="BG84" i="2"/>
  <c r="BN84" i="2" s="1"/>
  <c r="BG85" i="2"/>
  <c r="BG86" i="2"/>
  <c r="BN86" i="2" s="1"/>
  <c r="BG87" i="2"/>
  <c r="BN87" i="2" s="1"/>
  <c r="BG88" i="2"/>
  <c r="BN88" i="2" s="1"/>
  <c r="BG89" i="2"/>
  <c r="BN89" i="2" s="1"/>
  <c r="BG90" i="2"/>
  <c r="BN90" i="2" s="1"/>
  <c r="BG91" i="2"/>
  <c r="BN91" i="2" s="1"/>
  <c r="BG92" i="2"/>
  <c r="BN92" i="2" s="1"/>
  <c r="BG93" i="2"/>
  <c r="BN93" i="2" s="1"/>
  <c r="BG94" i="2"/>
  <c r="BN94" i="2" s="1"/>
  <c r="BG95" i="2"/>
  <c r="BN95" i="2" s="1"/>
  <c r="BG96" i="2"/>
  <c r="BN96" i="2" s="1"/>
  <c r="BG97" i="2"/>
  <c r="BN97" i="2" s="1"/>
  <c r="BG98" i="2"/>
  <c r="BN98" i="2" s="1"/>
  <c r="BG99" i="2"/>
  <c r="BN99" i="2" s="1"/>
  <c r="BG100" i="2"/>
  <c r="BN100" i="2" s="1"/>
  <c r="BG101" i="2"/>
  <c r="BN101" i="2" s="1"/>
  <c r="BG102" i="2"/>
  <c r="BN102" i="2" s="1"/>
  <c r="BG103" i="2"/>
  <c r="BN103" i="2" s="1"/>
  <c r="BG104" i="2"/>
  <c r="BN104" i="2" s="1"/>
  <c r="BG105" i="2"/>
  <c r="BN105" i="2" s="1"/>
  <c r="BG106" i="2"/>
  <c r="BN106" i="2" s="1"/>
  <c r="BG107" i="2"/>
  <c r="BN107" i="2" s="1"/>
  <c r="BG108" i="2"/>
  <c r="BN108" i="2" s="1"/>
  <c r="BG109" i="2"/>
  <c r="BN109" i="2" s="1"/>
  <c r="BF4" i="2"/>
  <c r="BL4" i="2" s="1"/>
  <c r="BM4" i="2" s="1"/>
  <c r="BF5" i="2"/>
  <c r="BL5" i="2" s="1"/>
  <c r="BM5" i="2" s="1"/>
  <c r="BF6" i="2"/>
  <c r="BL6" i="2" s="1"/>
  <c r="BM6" i="2" s="1"/>
  <c r="BF7" i="2"/>
  <c r="BL7" i="2" s="1"/>
  <c r="BM7" i="2" s="1"/>
  <c r="BF8" i="2"/>
  <c r="BL8" i="2" s="1"/>
  <c r="BM8" i="2" s="1"/>
  <c r="BF9" i="2"/>
  <c r="BL9" i="2" s="1"/>
  <c r="BM9" i="2" s="1"/>
  <c r="BF10" i="2"/>
  <c r="BL10" i="2" s="1"/>
  <c r="BM10" i="2" s="1"/>
  <c r="BF11" i="2"/>
  <c r="BL11" i="2" s="1"/>
  <c r="BM11" i="2" s="1"/>
  <c r="BF12" i="2"/>
  <c r="BL12" i="2" s="1"/>
  <c r="BM12" i="2" s="1"/>
  <c r="BF13" i="2"/>
  <c r="BL13" i="2" s="1"/>
  <c r="BM13" i="2" s="1"/>
  <c r="BF14" i="2"/>
  <c r="BL14" i="2" s="1"/>
  <c r="BM14" i="2" s="1"/>
  <c r="BF15" i="2"/>
  <c r="BL15" i="2" s="1"/>
  <c r="BM15" i="2" s="1"/>
  <c r="BF16" i="2"/>
  <c r="BL16" i="2" s="1"/>
  <c r="BM16" i="2" s="1"/>
  <c r="BF17" i="2"/>
  <c r="BL17" i="2" s="1"/>
  <c r="BM17" i="2" s="1"/>
  <c r="BF18" i="2"/>
  <c r="BL18" i="2" s="1"/>
  <c r="BM18" i="2" s="1"/>
  <c r="BF19" i="2"/>
  <c r="BL19" i="2" s="1"/>
  <c r="BM19" i="2" s="1"/>
  <c r="BF20" i="2"/>
  <c r="BL20" i="2" s="1"/>
  <c r="BM20" i="2" s="1"/>
  <c r="BF21" i="2"/>
  <c r="BL21" i="2" s="1"/>
  <c r="BM21" i="2" s="1"/>
  <c r="BF22" i="2"/>
  <c r="BL22" i="2" s="1"/>
  <c r="BM22" i="2" s="1"/>
  <c r="BF23" i="2"/>
  <c r="BL23" i="2" s="1"/>
  <c r="BM23" i="2" s="1"/>
  <c r="BF24" i="2"/>
  <c r="BL24" i="2" s="1"/>
  <c r="BM24" i="2" s="1"/>
  <c r="BF25" i="2"/>
  <c r="BL25" i="2" s="1"/>
  <c r="BM25" i="2" s="1"/>
  <c r="BF26" i="2"/>
  <c r="BL26" i="2" s="1"/>
  <c r="BM26" i="2" s="1"/>
  <c r="BF27" i="2"/>
  <c r="BL27" i="2" s="1"/>
  <c r="BM27" i="2" s="1"/>
  <c r="BF28" i="2"/>
  <c r="BL28" i="2" s="1"/>
  <c r="BM28" i="2" s="1"/>
  <c r="BF29" i="2"/>
  <c r="BL29" i="2" s="1"/>
  <c r="BM29" i="2" s="1"/>
  <c r="BF30" i="2"/>
  <c r="BL30" i="2" s="1"/>
  <c r="BM30" i="2" s="1"/>
  <c r="BF31" i="2"/>
  <c r="BL31" i="2" s="1"/>
  <c r="BM31" i="2" s="1"/>
  <c r="BF32" i="2"/>
  <c r="BL32" i="2" s="1"/>
  <c r="BM32" i="2" s="1"/>
  <c r="BF33" i="2"/>
  <c r="BL33" i="2" s="1"/>
  <c r="BM33" i="2" s="1"/>
  <c r="BF34" i="2"/>
  <c r="BL34" i="2" s="1"/>
  <c r="BM34" i="2" s="1"/>
  <c r="BF35" i="2"/>
  <c r="BL35" i="2" s="1"/>
  <c r="BM35" i="2" s="1"/>
  <c r="BF36" i="2"/>
  <c r="BL36" i="2" s="1"/>
  <c r="BM36" i="2" s="1"/>
  <c r="BF37" i="2"/>
  <c r="BL37" i="2" s="1"/>
  <c r="BM37" i="2" s="1"/>
  <c r="BF38" i="2"/>
  <c r="BL38" i="2" s="1"/>
  <c r="BM38" i="2" s="1"/>
  <c r="BF39" i="2"/>
  <c r="BL39" i="2" s="1"/>
  <c r="BM39" i="2" s="1"/>
  <c r="BF40" i="2"/>
  <c r="BL40" i="2" s="1"/>
  <c r="BM40" i="2" s="1"/>
  <c r="BF41" i="2"/>
  <c r="BL41" i="2" s="1"/>
  <c r="BM41" i="2" s="1"/>
  <c r="BF42" i="2"/>
  <c r="BL42" i="2" s="1"/>
  <c r="BM42" i="2" s="1"/>
  <c r="BF43" i="2"/>
  <c r="BL43" i="2" s="1"/>
  <c r="BM43" i="2" s="1"/>
  <c r="BF44" i="2"/>
  <c r="BL44" i="2" s="1"/>
  <c r="BM44" i="2" s="1"/>
  <c r="BF45" i="2"/>
  <c r="BL45" i="2" s="1"/>
  <c r="BM45" i="2" s="1"/>
  <c r="BF46" i="2"/>
  <c r="BL46" i="2" s="1"/>
  <c r="BM46" i="2" s="1"/>
  <c r="BF47" i="2"/>
  <c r="BL47" i="2" s="1"/>
  <c r="BM47" i="2" s="1"/>
  <c r="BF48" i="2"/>
  <c r="BL48" i="2" s="1"/>
  <c r="BM48" i="2" s="1"/>
  <c r="BF49" i="2"/>
  <c r="BL49" i="2" s="1"/>
  <c r="BM49" i="2" s="1"/>
  <c r="BF50" i="2"/>
  <c r="BL50" i="2" s="1"/>
  <c r="BM50" i="2" s="1"/>
  <c r="BF51" i="2"/>
  <c r="BL51" i="2" s="1"/>
  <c r="BM51" i="2" s="1"/>
  <c r="BF52" i="2"/>
  <c r="BL52" i="2" s="1"/>
  <c r="BM52" i="2" s="1"/>
  <c r="BF53" i="2"/>
  <c r="BL53" i="2" s="1"/>
  <c r="BM53" i="2" s="1"/>
  <c r="BF54" i="2"/>
  <c r="BL54" i="2" s="1"/>
  <c r="BM54" i="2" s="1"/>
  <c r="BF55" i="2"/>
  <c r="BL55" i="2" s="1"/>
  <c r="BM55" i="2" s="1"/>
  <c r="BF56" i="2"/>
  <c r="BL56" i="2" s="1"/>
  <c r="BM56" i="2" s="1"/>
  <c r="BF57" i="2"/>
  <c r="BL57" i="2" s="1"/>
  <c r="BM57" i="2" s="1"/>
  <c r="BF58" i="2"/>
  <c r="BL58" i="2" s="1"/>
  <c r="BM58" i="2" s="1"/>
  <c r="BF59" i="2"/>
  <c r="BL59" i="2" s="1"/>
  <c r="BM59" i="2" s="1"/>
  <c r="BF60" i="2"/>
  <c r="BL60" i="2" s="1"/>
  <c r="BM60" i="2" s="1"/>
  <c r="BF61" i="2"/>
  <c r="BL61" i="2" s="1"/>
  <c r="BM61" i="2" s="1"/>
  <c r="BF62" i="2"/>
  <c r="BL62" i="2" s="1"/>
  <c r="BM62" i="2" s="1"/>
  <c r="BF63" i="2"/>
  <c r="BL63" i="2" s="1"/>
  <c r="BM63" i="2" s="1"/>
  <c r="BF64" i="2"/>
  <c r="BL64" i="2" s="1"/>
  <c r="BM64" i="2" s="1"/>
  <c r="BF65" i="2"/>
  <c r="BL65" i="2" s="1"/>
  <c r="BM65" i="2" s="1"/>
  <c r="BF66" i="2"/>
  <c r="BL66" i="2" s="1"/>
  <c r="BM66" i="2" s="1"/>
  <c r="BF67" i="2"/>
  <c r="BL67" i="2" s="1"/>
  <c r="BM67" i="2" s="1"/>
  <c r="BF68" i="2"/>
  <c r="BL68" i="2" s="1"/>
  <c r="BM68" i="2" s="1"/>
  <c r="BF69" i="2"/>
  <c r="BL69" i="2" s="1"/>
  <c r="BM69" i="2" s="1"/>
  <c r="BF70" i="2"/>
  <c r="BL70" i="2" s="1"/>
  <c r="BM70" i="2" s="1"/>
  <c r="BF71" i="2"/>
  <c r="BL71" i="2" s="1"/>
  <c r="BM71" i="2" s="1"/>
  <c r="BF72" i="2"/>
  <c r="BL72" i="2" s="1"/>
  <c r="BM72" i="2" s="1"/>
  <c r="BF73" i="2"/>
  <c r="BL73" i="2" s="1"/>
  <c r="BM73" i="2" s="1"/>
  <c r="BF74" i="2"/>
  <c r="BL74" i="2" s="1"/>
  <c r="BM74" i="2" s="1"/>
  <c r="BF75" i="2"/>
  <c r="BL75" i="2" s="1"/>
  <c r="BM75" i="2" s="1"/>
  <c r="BF76" i="2"/>
  <c r="BL76" i="2" s="1"/>
  <c r="BM76" i="2" s="1"/>
  <c r="BF77" i="2"/>
  <c r="BL77" i="2" s="1"/>
  <c r="BM77" i="2" s="1"/>
  <c r="BF78" i="2"/>
  <c r="BL78" i="2" s="1"/>
  <c r="BM78" i="2" s="1"/>
  <c r="BF79" i="2"/>
  <c r="BL79" i="2" s="1"/>
  <c r="BM79" i="2" s="1"/>
  <c r="BF80" i="2"/>
  <c r="BL80" i="2" s="1"/>
  <c r="BM80" i="2" s="1"/>
  <c r="BF81" i="2"/>
  <c r="BL81" i="2" s="1"/>
  <c r="BM81" i="2" s="1"/>
  <c r="BF82" i="2"/>
  <c r="BL82" i="2" s="1"/>
  <c r="BM82" i="2" s="1"/>
  <c r="BF83" i="2"/>
  <c r="BL83" i="2" s="1"/>
  <c r="BM83" i="2" s="1"/>
  <c r="BF84" i="2"/>
  <c r="BL84" i="2" s="1"/>
  <c r="BM84" i="2" s="1"/>
  <c r="BF85" i="2"/>
  <c r="BF86" i="2"/>
  <c r="BL86" i="2" s="1"/>
  <c r="BM86" i="2" s="1"/>
  <c r="BF87" i="2"/>
  <c r="BL87" i="2" s="1"/>
  <c r="BM87" i="2" s="1"/>
  <c r="BF88" i="2"/>
  <c r="BL88" i="2" s="1"/>
  <c r="BM88" i="2" s="1"/>
  <c r="BF89" i="2"/>
  <c r="BL89" i="2" s="1"/>
  <c r="BM89" i="2" s="1"/>
  <c r="BF90" i="2"/>
  <c r="BL90" i="2" s="1"/>
  <c r="BM90" i="2" s="1"/>
  <c r="BF91" i="2"/>
  <c r="BL91" i="2" s="1"/>
  <c r="BM91" i="2" s="1"/>
  <c r="BF92" i="2"/>
  <c r="BL92" i="2" s="1"/>
  <c r="BM92" i="2" s="1"/>
  <c r="BF93" i="2"/>
  <c r="BL93" i="2" s="1"/>
  <c r="BM93" i="2" s="1"/>
  <c r="BF94" i="2"/>
  <c r="BL94" i="2" s="1"/>
  <c r="BM94" i="2" s="1"/>
  <c r="BF95" i="2"/>
  <c r="BL95" i="2" s="1"/>
  <c r="BM95" i="2" s="1"/>
  <c r="BF96" i="2"/>
  <c r="BL96" i="2" s="1"/>
  <c r="BM96" i="2" s="1"/>
  <c r="BF97" i="2"/>
  <c r="BL97" i="2" s="1"/>
  <c r="BM97" i="2" s="1"/>
  <c r="BF98" i="2"/>
  <c r="BL98" i="2" s="1"/>
  <c r="BM98" i="2" s="1"/>
  <c r="BF99" i="2"/>
  <c r="BL99" i="2" s="1"/>
  <c r="BM99" i="2" s="1"/>
  <c r="BF100" i="2"/>
  <c r="BL100" i="2" s="1"/>
  <c r="BM100" i="2" s="1"/>
  <c r="BF101" i="2"/>
  <c r="BL101" i="2" s="1"/>
  <c r="BM101" i="2" s="1"/>
  <c r="BF102" i="2"/>
  <c r="BL102" i="2" s="1"/>
  <c r="BM102" i="2" s="1"/>
  <c r="BF103" i="2"/>
  <c r="BL103" i="2" s="1"/>
  <c r="BM103" i="2" s="1"/>
  <c r="BF104" i="2"/>
  <c r="BL104" i="2" s="1"/>
  <c r="BM104" i="2" s="1"/>
  <c r="BF105" i="2"/>
  <c r="BL105" i="2" s="1"/>
  <c r="BM105" i="2" s="1"/>
  <c r="BF106" i="2"/>
  <c r="BL106" i="2" s="1"/>
  <c r="BM106" i="2" s="1"/>
  <c r="BF107" i="2"/>
  <c r="BL107" i="2" s="1"/>
  <c r="BM107" i="2" s="1"/>
  <c r="BF108" i="2"/>
  <c r="BL108" i="2" s="1"/>
  <c r="BM108" i="2" s="1"/>
  <c r="BF109" i="2"/>
  <c r="BL109" i="2" s="1"/>
  <c r="BM109" i="2" s="1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AN5" i="2"/>
  <c r="AU5" i="2" s="1"/>
  <c r="AN6" i="2"/>
  <c r="AU6" i="2" s="1"/>
  <c r="AN7" i="2"/>
  <c r="AU7" i="2" s="1"/>
  <c r="AN8" i="2"/>
  <c r="AU8" i="2" s="1"/>
  <c r="AN9" i="2"/>
  <c r="AU9" i="2" s="1"/>
  <c r="AN10" i="2"/>
  <c r="AU10" i="2" s="1"/>
  <c r="AN11" i="2"/>
  <c r="AU11" i="2" s="1"/>
  <c r="AN12" i="2"/>
  <c r="AU12" i="2" s="1"/>
  <c r="AN13" i="2"/>
  <c r="AU13" i="2" s="1"/>
  <c r="AN14" i="2"/>
  <c r="AU14" i="2" s="1"/>
  <c r="AN15" i="2"/>
  <c r="AU15" i="2" s="1"/>
  <c r="AN16" i="2"/>
  <c r="AU16" i="2" s="1"/>
  <c r="AN17" i="2"/>
  <c r="AU17" i="2" s="1"/>
  <c r="AN18" i="2"/>
  <c r="AU18" i="2" s="1"/>
  <c r="AN19" i="2"/>
  <c r="AU19" i="2" s="1"/>
  <c r="AN20" i="2"/>
  <c r="AU20" i="2" s="1"/>
  <c r="AN21" i="2"/>
  <c r="AU21" i="2" s="1"/>
  <c r="AN22" i="2"/>
  <c r="AU22" i="2" s="1"/>
  <c r="AN23" i="2"/>
  <c r="AU23" i="2" s="1"/>
  <c r="AN24" i="2"/>
  <c r="AU24" i="2" s="1"/>
  <c r="AN25" i="2"/>
  <c r="AU25" i="2" s="1"/>
  <c r="AN26" i="2"/>
  <c r="AU26" i="2" s="1"/>
  <c r="AN27" i="2"/>
  <c r="AU27" i="2" s="1"/>
  <c r="AN28" i="2"/>
  <c r="AU28" i="2" s="1"/>
  <c r="AN29" i="2"/>
  <c r="AU29" i="2" s="1"/>
  <c r="AN30" i="2"/>
  <c r="AU30" i="2" s="1"/>
  <c r="AN31" i="2"/>
  <c r="AU31" i="2" s="1"/>
  <c r="AN32" i="2"/>
  <c r="AU32" i="2" s="1"/>
  <c r="AN33" i="2"/>
  <c r="AU33" i="2" s="1"/>
  <c r="AN34" i="2"/>
  <c r="AU34" i="2" s="1"/>
  <c r="AN35" i="2"/>
  <c r="AU35" i="2" s="1"/>
  <c r="AN36" i="2"/>
  <c r="AU36" i="2" s="1"/>
  <c r="AN37" i="2"/>
  <c r="AU37" i="2" s="1"/>
  <c r="AN38" i="2"/>
  <c r="AU38" i="2" s="1"/>
  <c r="AN39" i="2"/>
  <c r="AU39" i="2" s="1"/>
  <c r="AN40" i="2"/>
  <c r="AU40" i="2" s="1"/>
  <c r="AN41" i="2"/>
  <c r="AU41" i="2" s="1"/>
  <c r="AN42" i="2"/>
  <c r="AU42" i="2" s="1"/>
  <c r="AN43" i="2"/>
  <c r="AU43" i="2" s="1"/>
  <c r="AN44" i="2"/>
  <c r="AU44" i="2" s="1"/>
  <c r="AN45" i="2"/>
  <c r="AU45" i="2" s="1"/>
  <c r="AN46" i="2"/>
  <c r="AU46" i="2" s="1"/>
  <c r="AN47" i="2"/>
  <c r="AU47" i="2" s="1"/>
  <c r="AN48" i="2"/>
  <c r="AU48" i="2" s="1"/>
  <c r="AN49" i="2"/>
  <c r="AU49" i="2" s="1"/>
  <c r="AN50" i="2"/>
  <c r="AU50" i="2" s="1"/>
  <c r="AN51" i="2"/>
  <c r="AU51" i="2" s="1"/>
  <c r="AN52" i="2"/>
  <c r="AU52" i="2" s="1"/>
  <c r="AN53" i="2"/>
  <c r="AU53" i="2" s="1"/>
  <c r="AN54" i="2"/>
  <c r="AU54" i="2" s="1"/>
  <c r="AN55" i="2"/>
  <c r="AU55" i="2" s="1"/>
  <c r="AN56" i="2"/>
  <c r="AU56" i="2" s="1"/>
  <c r="AN57" i="2"/>
  <c r="AU57" i="2" s="1"/>
  <c r="AN58" i="2"/>
  <c r="AU58" i="2" s="1"/>
  <c r="AN59" i="2"/>
  <c r="AU59" i="2" s="1"/>
  <c r="AN60" i="2"/>
  <c r="AU60" i="2" s="1"/>
  <c r="AN61" i="2"/>
  <c r="AU61" i="2" s="1"/>
  <c r="AN62" i="2"/>
  <c r="AU62" i="2" s="1"/>
  <c r="AN63" i="2"/>
  <c r="AU63" i="2" s="1"/>
  <c r="AN64" i="2"/>
  <c r="AU64" i="2" s="1"/>
  <c r="AN65" i="2"/>
  <c r="AU65" i="2" s="1"/>
  <c r="AN66" i="2"/>
  <c r="AU66" i="2" s="1"/>
  <c r="AN67" i="2"/>
  <c r="AU67" i="2" s="1"/>
  <c r="AN68" i="2"/>
  <c r="AU68" i="2" s="1"/>
  <c r="AN69" i="2"/>
  <c r="AU69" i="2" s="1"/>
  <c r="AN70" i="2"/>
  <c r="AU70" i="2" s="1"/>
  <c r="AN71" i="2"/>
  <c r="AU71" i="2" s="1"/>
  <c r="AN72" i="2"/>
  <c r="AU72" i="2" s="1"/>
  <c r="AN73" i="2"/>
  <c r="AU73" i="2" s="1"/>
  <c r="AN74" i="2"/>
  <c r="AU74" i="2" s="1"/>
  <c r="AN75" i="2"/>
  <c r="AU75" i="2" s="1"/>
  <c r="AN76" i="2"/>
  <c r="AU76" i="2" s="1"/>
  <c r="AN77" i="2"/>
  <c r="AU77" i="2" s="1"/>
  <c r="AN78" i="2"/>
  <c r="AU78" i="2" s="1"/>
  <c r="AN79" i="2"/>
  <c r="AU79" i="2" s="1"/>
  <c r="AN80" i="2"/>
  <c r="AU80" i="2" s="1"/>
  <c r="AN81" i="2"/>
  <c r="AU81" i="2" s="1"/>
  <c r="AN82" i="2"/>
  <c r="AU82" i="2" s="1"/>
  <c r="AN83" i="2"/>
  <c r="AU83" i="2" s="1"/>
  <c r="AN84" i="2"/>
  <c r="AU84" i="2" s="1"/>
  <c r="AN86" i="2"/>
  <c r="AU86" i="2" s="1"/>
  <c r="AN87" i="2"/>
  <c r="AU87" i="2" s="1"/>
  <c r="AN88" i="2"/>
  <c r="AU88" i="2" s="1"/>
  <c r="AN89" i="2"/>
  <c r="AU89" i="2" s="1"/>
  <c r="AN90" i="2"/>
  <c r="AU90" i="2" s="1"/>
  <c r="AN91" i="2"/>
  <c r="AU91" i="2" s="1"/>
  <c r="AN92" i="2"/>
  <c r="AU92" i="2" s="1"/>
  <c r="AN93" i="2"/>
  <c r="AU93" i="2" s="1"/>
  <c r="AN94" i="2"/>
  <c r="AU94" i="2" s="1"/>
  <c r="AN95" i="2"/>
  <c r="AU95" i="2" s="1"/>
  <c r="AN96" i="2"/>
  <c r="AU96" i="2" s="1"/>
  <c r="AN97" i="2"/>
  <c r="AU97" i="2" s="1"/>
  <c r="AN98" i="2"/>
  <c r="AU98" i="2" s="1"/>
  <c r="AN99" i="2"/>
  <c r="AU99" i="2" s="1"/>
  <c r="AN100" i="2"/>
  <c r="AU100" i="2" s="1"/>
  <c r="AN101" i="2"/>
  <c r="AU101" i="2" s="1"/>
  <c r="AN102" i="2"/>
  <c r="AU102" i="2" s="1"/>
  <c r="AN103" i="2"/>
  <c r="AU103" i="2" s="1"/>
  <c r="AN104" i="2"/>
  <c r="AU104" i="2" s="1"/>
  <c r="AN105" i="2"/>
  <c r="AU105" i="2" s="1"/>
  <c r="AN106" i="2"/>
  <c r="AU106" i="2" s="1"/>
  <c r="AN107" i="2"/>
  <c r="AU107" i="2" s="1"/>
  <c r="AN108" i="2"/>
  <c r="AU108" i="2" s="1"/>
  <c r="AN109" i="2"/>
  <c r="AU109" i="2" s="1"/>
  <c r="AL5" i="2"/>
  <c r="AR5" i="2" s="1"/>
  <c r="AS5" i="2" s="1"/>
  <c r="AL6" i="2"/>
  <c r="AR6" i="2" s="1"/>
  <c r="AS6" i="2" s="1"/>
  <c r="AL7" i="2"/>
  <c r="AR7" i="2" s="1"/>
  <c r="AS7" i="2" s="1"/>
  <c r="AL8" i="2"/>
  <c r="AR8" i="2" s="1"/>
  <c r="AS8" i="2" s="1"/>
  <c r="AL9" i="2"/>
  <c r="AR9" i="2" s="1"/>
  <c r="AS9" i="2" s="1"/>
  <c r="AL10" i="2"/>
  <c r="AR10" i="2" s="1"/>
  <c r="AS10" i="2" s="1"/>
  <c r="AL11" i="2"/>
  <c r="AR11" i="2" s="1"/>
  <c r="AS11" i="2" s="1"/>
  <c r="AL12" i="2"/>
  <c r="AR12" i="2" s="1"/>
  <c r="AS12" i="2" s="1"/>
  <c r="AL13" i="2"/>
  <c r="AR13" i="2" s="1"/>
  <c r="AS13" i="2" s="1"/>
  <c r="AL14" i="2"/>
  <c r="AR14" i="2" s="1"/>
  <c r="AS14" i="2" s="1"/>
  <c r="AL15" i="2"/>
  <c r="AR15" i="2" s="1"/>
  <c r="AS15" i="2" s="1"/>
  <c r="AL16" i="2"/>
  <c r="AR16" i="2" s="1"/>
  <c r="AS16" i="2" s="1"/>
  <c r="AL17" i="2"/>
  <c r="AR17" i="2" s="1"/>
  <c r="AS17" i="2" s="1"/>
  <c r="AL18" i="2"/>
  <c r="AR18" i="2" s="1"/>
  <c r="AS18" i="2" s="1"/>
  <c r="AL19" i="2"/>
  <c r="AR19" i="2" s="1"/>
  <c r="AS19" i="2" s="1"/>
  <c r="AL20" i="2"/>
  <c r="AR20" i="2" s="1"/>
  <c r="AS20" i="2" s="1"/>
  <c r="AL21" i="2"/>
  <c r="AR21" i="2" s="1"/>
  <c r="AS21" i="2" s="1"/>
  <c r="AL22" i="2"/>
  <c r="AR22" i="2" s="1"/>
  <c r="AS22" i="2" s="1"/>
  <c r="AL23" i="2"/>
  <c r="AR23" i="2" s="1"/>
  <c r="AS23" i="2" s="1"/>
  <c r="AL24" i="2"/>
  <c r="AR24" i="2" s="1"/>
  <c r="AS24" i="2" s="1"/>
  <c r="AL25" i="2"/>
  <c r="AR25" i="2" s="1"/>
  <c r="AS25" i="2" s="1"/>
  <c r="AL26" i="2"/>
  <c r="AR26" i="2" s="1"/>
  <c r="AS26" i="2" s="1"/>
  <c r="AL27" i="2"/>
  <c r="AR27" i="2" s="1"/>
  <c r="AS27" i="2" s="1"/>
  <c r="AL28" i="2"/>
  <c r="AR28" i="2" s="1"/>
  <c r="AS28" i="2" s="1"/>
  <c r="AL29" i="2"/>
  <c r="AR29" i="2" s="1"/>
  <c r="AS29" i="2" s="1"/>
  <c r="AL30" i="2"/>
  <c r="AR30" i="2" s="1"/>
  <c r="AS30" i="2" s="1"/>
  <c r="AL31" i="2"/>
  <c r="AR31" i="2" s="1"/>
  <c r="AS31" i="2" s="1"/>
  <c r="AL32" i="2"/>
  <c r="AR32" i="2" s="1"/>
  <c r="AS32" i="2" s="1"/>
  <c r="AL33" i="2"/>
  <c r="AR33" i="2" s="1"/>
  <c r="AS33" i="2" s="1"/>
  <c r="AL34" i="2"/>
  <c r="AR34" i="2" s="1"/>
  <c r="AS34" i="2" s="1"/>
  <c r="AL35" i="2"/>
  <c r="AR35" i="2" s="1"/>
  <c r="AS35" i="2" s="1"/>
  <c r="AL36" i="2"/>
  <c r="AR36" i="2" s="1"/>
  <c r="AS36" i="2" s="1"/>
  <c r="AL37" i="2"/>
  <c r="AR37" i="2" s="1"/>
  <c r="AS37" i="2" s="1"/>
  <c r="AL38" i="2"/>
  <c r="AR38" i="2" s="1"/>
  <c r="AS38" i="2" s="1"/>
  <c r="AL39" i="2"/>
  <c r="AR39" i="2" s="1"/>
  <c r="AS39" i="2" s="1"/>
  <c r="AL40" i="2"/>
  <c r="AR40" i="2" s="1"/>
  <c r="AS40" i="2" s="1"/>
  <c r="AL41" i="2"/>
  <c r="AR41" i="2" s="1"/>
  <c r="AS41" i="2" s="1"/>
  <c r="AL42" i="2"/>
  <c r="AR42" i="2" s="1"/>
  <c r="AS42" i="2" s="1"/>
  <c r="AL43" i="2"/>
  <c r="AR43" i="2" s="1"/>
  <c r="AS43" i="2" s="1"/>
  <c r="AL44" i="2"/>
  <c r="AR44" i="2" s="1"/>
  <c r="AS44" i="2" s="1"/>
  <c r="AL45" i="2"/>
  <c r="AR45" i="2" s="1"/>
  <c r="AS45" i="2" s="1"/>
  <c r="AL46" i="2"/>
  <c r="AR46" i="2" s="1"/>
  <c r="AS46" i="2" s="1"/>
  <c r="AL47" i="2"/>
  <c r="AR47" i="2" s="1"/>
  <c r="AS47" i="2" s="1"/>
  <c r="AL48" i="2"/>
  <c r="AR48" i="2" s="1"/>
  <c r="AS48" i="2" s="1"/>
  <c r="AL49" i="2"/>
  <c r="AR49" i="2" s="1"/>
  <c r="AS49" i="2" s="1"/>
  <c r="AL50" i="2"/>
  <c r="AR50" i="2" s="1"/>
  <c r="AS50" i="2" s="1"/>
  <c r="AL51" i="2"/>
  <c r="AR51" i="2" s="1"/>
  <c r="AS51" i="2" s="1"/>
  <c r="AL52" i="2"/>
  <c r="AR52" i="2" s="1"/>
  <c r="AS52" i="2" s="1"/>
  <c r="AL53" i="2"/>
  <c r="AR53" i="2" s="1"/>
  <c r="AS53" i="2" s="1"/>
  <c r="AL54" i="2"/>
  <c r="AR54" i="2" s="1"/>
  <c r="AS54" i="2" s="1"/>
  <c r="AL55" i="2"/>
  <c r="AR55" i="2" s="1"/>
  <c r="AS55" i="2" s="1"/>
  <c r="AL56" i="2"/>
  <c r="AR56" i="2" s="1"/>
  <c r="AS56" i="2" s="1"/>
  <c r="AL57" i="2"/>
  <c r="AR57" i="2" s="1"/>
  <c r="AS57" i="2" s="1"/>
  <c r="AL58" i="2"/>
  <c r="AR58" i="2" s="1"/>
  <c r="AS58" i="2" s="1"/>
  <c r="AL59" i="2"/>
  <c r="AR59" i="2" s="1"/>
  <c r="AS59" i="2" s="1"/>
  <c r="AL60" i="2"/>
  <c r="AR60" i="2" s="1"/>
  <c r="AS60" i="2" s="1"/>
  <c r="AL61" i="2"/>
  <c r="AR61" i="2" s="1"/>
  <c r="AS61" i="2" s="1"/>
  <c r="AL62" i="2"/>
  <c r="AR62" i="2" s="1"/>
  <c r="AS62" i="2" s="1"/>
  <c r="AL63" i="2"/>
  <c r="AR63" i="2" s="1"/>
  <c r="AS63" i="2" s="1"/>
  <c r="AL64" i="2"/>
  <c r="AR64" i="2" s="1"/>
  <c r="AS64" i="2" s="1"/>
  <c r="AL65" i="2"/>
  <c r="AR65" i="2" s="1"/>
  <c r="AS65" i="2" s="1"/>
  <c r="AL66" i="2"/>
  <c r="AR66" i="2" s="1"/>
  <c r="AS66" i="2" s="1"/>
  <c r="AL67" i="2"/>
  <c r="AR67" i="2" s="1"/>
  <c r="AS67" i="2" s="1"/>
  <c r="AL68" i="2"/>
  <c r="AR68" i="2" s="1"/>
  <c r="AS68" i="2" s="1"/>
  <c r="AL69" i="2"/>
  <c r="AR69" i="2" s="1"/>
  <c r="AS69" i="2" s="1"/>
  <c r="AL70" i="2"/>
  <c r="AR70" i="2" s="1"/>
  <c r="AS70" i="2" s="1"/>
  <c r="AL71" i="2"/>
  <c r="AR71" i="2" s="1"/>
  <c r="AS71" i="2" s="1"/>
  <c r="AL72" i="2"/>
  <c r="AR72" i="2" s="1"/>
  <c r="AS72" i="2" s="1"/>
  <c r="AL73" i="2"/>
  <c r="AR73" i="2" s="1"/>
  <c r="AS73" i="2" s="1"/>
  <c r="AL74" i="2"/>
  <c r="AR74" i="2" s="1"/>
  <c r="AS74" i="2" s="1"/>
  <c r="AL75" i="2"/>
  <c r="AR75" i="2" s="1"/>
  <c r="AS75" i="2" s="1"/>
  <c r="AL76" i="2"/>
  <c r="AR76" i="2" s="1"/>
  <c r="AS76" i="2" s="1"/>
  <c r="AL77" i="2"/>
  <c r="AR77" i="2" s="1"/>
  <c r="AS77" i="2" s="1"/>
  <c r="AL78" i="2"/>
  <c r="AR78" i="2" s="1"/>
  <c r="AS78" i="2" s="1"/>
  <c r="AL79" i="2"/>
  <c r="AR79" i="2" s="1"/>
  <c r="AS79" i="2" s="1"/>
  <c r="AL80" i="2"/>
  <c r="AR80" i="2" s="1"/>
  <c r="AS80" i="2" s="1"/>
  <c r="AL81" i="2"/>
  <c r="AR81" i="2" s="1"/>
  <c r="AS81" i="2" s="1"/>
  <c r="AL82" i="2"/>
  <c r="AR82" i="2" s="1"/>
  <c r="AS82" i="2" s="1"/>
  <c r="AL83" i="2"/>
  <c r="AR83" i="2" s="1"/>
  <c r="AS83" i="2" s="1"/>
  <c r="AL84" i="2"/>
  <c r="AR84" i="2" s="1"/>
  <c r="AS84" i="2" s="1"/>
  <c r="AL85" i="2"/>
  <c r="AL86" i="2"/>
  <c r="AR86" i="2" s="1"/>
  <c r="AS86" i="2" s="1"/>
  <c r="AL87" i="2"/>
  <c r="AR87" i="2" s="1"/>
  <c r="AS87" i="2" s="1"/>
  <c r="AL88" i="2"/>
  <c r="AR88" i="2" s="1"/>
  <c r="AS88" i="2" s="1"/>
  <c r="AL89" i="2"/>
  <c r="AR89" i="2" s="1"/>
  <c r="AS89" i="2" s="1"/>
  <c r="AL90" i="2"/>
  <c r="AR90" i="2" s="1"/>
  <c r="AS90" i="2" s="1"/>
  <c r="AL91" i="2"/>
  <c r="AR91" i="2" s="1"/>
  <c r="AS91" i="2" s="1"/>
  <c r="AL92" i="2"/>
  <c r="AR92" i="2" s="1"/>
  <c r="AS92" i="2" s="1"/>
  <c r="AL93" i="2"/>
  <c r="AR93" i="2" s="1"/>
  <c r="AS93" i="2" s="1"/>
  <c r="AL94" i="2"/>
  <c r="AR94" i="2" s="1"/>
  <c r="AS94" i="2" s="1"/>
  <c r="AL95" i="2"/>
  <c r="AR95" i="2" s="1"/>
  <c r="AS95" i="2" s="1"/>
  <c r="AL96" i="2"/>
  <c r="AR96" i="2" s="1"/>
  <c r="AS96" i="2" s="1"/>
  <c r="AL97" i="2"/>
  <c r="AR97" i="2" s="1"/>
  <c r="AS97" i="2" s="1"/>
  <c r="AL98" i="2"/>
  <c r="AR98" i="2" s="1"/>
  <c r="AS98" i="2" s="1"/>
  <c r="AL99" i="2"/>
  <c r="AR99" i="2" s="1"/>
  <c r="AS99" i="2" s="1"/>
  <c r="AL100" i="2"/>
  <c r="AR100" i="2" s="1"/>
  <c r="AS100" i="2" s="1"/>
  <c r="AL101" i="2"/>
  <c r="AR101" i="2" s="1"/>
  <c r="AS101" i="2" s="1"/>
  <c r="AL102" i="2"/>
  <c r="AR102" i="2" s="1"/>
  <c r="AS102" i="2" s="1"/>
  <c r="AL103" i="2"/>
  <c r="AR103" i="2" s="1"/>
  <c r="AS103" i="2" s="1"/>
  <c r="AL104" i="2"/>
  <c r="AR104" i="2" s="1"/>
  <c r="AS104" i="2" s="1"/>
  <c r="AL105" i="2"/>
  <c r="AR105" i="2" s="1"/>
  <c r="AS105" i="2" s="1"/>
  <c r="AL106" i="2"/>
  <c r="AR106" i="2" s="1"/>
  <c r="AS106" i="2" s="1"/>
  <c r="AL107" i="2"/>
  <c r="AR107" i="2" s="1"/>
  <c r="AS107" i="2" s="1"/>
  <c r="AL108" i="2"/>
  <c r="AR108" i="2" s="1"/>
  <c r="AS108" i="2" s="1"/>
  <c r="AL109" i="2"/>
  <c r="AR109" i="2" s="1"/>
  <c r="AS109" i="2" s="1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Q5" i="2"/>
  <c r="AX5" i="2" s="1"/>
  <c r="AQ6" i="2"/>
  <c r="AX6" i="2" s="1"/>
  <c r="AQ7" i="2"/>
  <c r="AX7" i="2" s="1"/>
  <c r="AQ8" i="2"/>
  <c r="AX8" i="2" s="1"/>
  <c r="AQ9" i="2"/>
  <c r="AX9" i="2" s="1"/>
  <c r="AQ10" i="2"/>
  <c r="AX10" i="2" s="1"/>
  <c r="AQ11" i="2"/>
  <c r="AX11" i="2" s="1"/>
  <c r="AQ12" i="2"/>
  <c r="AX12" i="2" s="1"/>
  <c r="AQ13" i="2"/>
  <c r="AX13" i="2" s="1"/>
  <c r="AQ14" i="2"/>
  <c r="AX14" i="2" s="1"/>
  <c r="AQ15" i="2"/>
  <c r="AX15" i="2" s="1"/>
  <c r="AQ16" i="2"/>
  <c r="AX16" i="2" s="1"/>
  <c r="AQ17" i="2"/>
  <c r="AX17" i="2" s="1"/>
  <c r="AQ18" i="2"/>
  <c r="AX18" i="2" s="1"/>
  <c r="AQ19" i="2"/>
  <c r="AX19" i="2" s="1"/>
  <c r="AQ20" i="2"/>
  <c r="AX20" i="2" s="1"/>
  <c r="AQ21" i="2"/>
  <c r="AX21" i="2" s="1"/>
  <c r="AQ22" i="2"/>
  <c r="AX22" i="2" s="1"/>
  <c r="AQ23" i="2"/>
  <c r="AX23" i="2" s="1"/>
  <c r="AQ24" i="2"/>
  <c r="AX24" i="2" s="1"/>
  <c r="AQ25" i="2"/>
  <c r="AX25" i="2" s="1"/>
  <c r="AQ26" i="2"/>
  <c r="AX26" i="2" s="1"/>
  <c r="AQ27" i="2"/>
  <c r="AX27" i="2" s="1"/>
  <c r="AQ28" i="2"/>
  <c r="AX28" i="2" s="1"/>
  <c r="AQ29" i="2"/>
  <c r="AX29" i="2" s="1"/>
  <c r="AQ30" i="2"/>
  <c r="AX30" i="2" s="1"/>
  <c r="AQ31" i="2"/>
  <c r="AX31" i="2" s="1"/>
  <c r="AQ32" i="2"/>
  <c r="AX32" i="2" s="1"/>
  <c r="AQ33" i="2"/>
  <c r="AX33" i="2" s="1"/>
  <c r="AQ34" i="2"/>
  <c r="AX34" i="2" s="1"/>
  <c r="AQ35" i="2"/>
  <c r="AX35" i="2" s="1"/>
  <c r="AQ36" i="2"/>
  <c r="AX36" i="2" s="1"/>
  <c r="AQ37" i="2"/>
  <c r="AX37" i="2" s="1"/>
  <c r="AQ38" i="2"/>
  <c r="AX38" i="2" s="1"/>
  <c r="AQ39" i="2"/>
  <c r="AX39" i="2" s="1"/>
  <c r="AQ40" i="2"/>
  <c r="AX40" i="2" s="1"/>
  <c r="AQ41" i="2"/>
  <c r="AX41" i="2" s="1"/>
  <c r="AQ42" i="2"/>
  <c r="AX42" i="2" s="1"/>
  <c r="AQ43" i="2"/>
  <c r="AX43" i="2" s="1"/>
  <c r="AQ44" i="2"/>
  <c r="AX44" i="2" s="1"/>
  <c r="AQ45" i="2"/>
  <c r="AX45" i="2" s="1"/>
  <c r="AQ46" i="2"/>
  <c r="AX46" i="2" s="1"/>
  <c r="AQ47" i="2"/>
  <c r="AX47" i="2" s="1"/>
  <c r="AQ48" i="2"/>
  <c r="AX48" i="2" s="1"/>
  <c r="AQ49" i="2"/>
  <c r="AX49" i="2" s="1"/>
  <c r="AQ50" i="2"/>
  <c r="AX50" i="2" s="1"/>
  <c r="AQ51" i="2"/>
  <c r="AX51" i="2" s="1"/>
  <c r="AQ52" i="2"/>
  <c r="AX52" i="2" s="1"/>
  <c r="AQ53" i="2"/>
  <c r="AX53" i="2" s="1"/>
  <c r="AQ54" i="2"/>
  <c r="AX54" i="2" s="1"/>
  <c r="AQ55" i="2"/>
  <c r="AX55" i="2" s="1"/>
  <c r="AQ56" i="2"/>
  <c r="AX56" i="2" s="1"/>
  <c r="AQ57" i="2"/>
  <c r="AX57" i="2" s="1"/>
  <c r="AQ58" i="2"/>
  <c r="AX58" i="2" s="1"/>
  <c r="AQ59" i="2"/>
  <c r="AX59" i="2" s="1"/>
  <c r="AQ60" i="2"/>
  <c r="AX60" i="2" s="1"/>
  <c r="AQ61" i="2"/>
  <c r="AX61" i="2" s="1"/>
  <c r="AQ62" i="2"/>
  <c r="AX62" i="2" s="1"/>
  <c r="AQ63" i="2"/>
  <c r="AX63" i="2" s="1"/>
  <c r="AQ64" i="2"/>
  <c r="AX64" i="2" s="1"/>
  <c r="AQ65" i="2"/>
  <c r="AX65" i="2" s="1"/>
  <c r="AQ66" i="2"/>
  <c r="AX66" i="2" s="1"/>
  <c r="AQ67" i="2"/>
  <c r="AX67" i="2" s="1"/>
  <c r="AQ68" i="2"/>
  <c r="AX68" i="2" s="1"/>
  <c r="AQ69" i="2"/>
  <c r="AX69" i="2" s="1"/>
  <c r="AQ70" i="2"/>
  <c r="AX70" i="2" s="1"/>
  <c r="AQ71" i="2"/>
  <c r="AX71" i="2" s="1"/>
  <c r="AQ72" i="2"/>
  <c r="AX72" i="2" s="1"/>
  <c r="AQ73" i="2"/>
  <c r="AX73" i="2" s="1"/>
  <c r="AQ74" i="2"/>
  <c r="AX74" i="2" s="1"/>
  <c r="AQ75" i="2"/>
  <c r="AX75" i="2" s="1"/>
  <c r="AQ76" i="2"/>
  <c r="AX76" i="2" s="1"/>
  <c r="AQ77" i="2"/>
  <c r="AX77" i="2" s="1"/>
  <c r="AQ78" i="2"/>
  <c r="AX78" i="2" s="1"/>
  <c r="AQ79" i="2"/>
  <c r="AX79" i="2" s="1"/>
  <c r="AQ80" i="2"/>
  <c r="AX80" i="2" s="1"/>
  <c r="AQ81" i="2"/>
  <c r="AX81" i="2" s="1"/>
  <c r="AQ82" i="2"/>
  <c r="AX82" i="2" s="1"/>
  <c r="AQ83" i="2"/>
  <c r="AX83" i="2" s="1"/>
  <c r="AQ84" i="2"/>
  <c r="AX84" i="2" s="1"/>
  <c r="AQ85" i="2"/>
  <c r="AQ86" i="2"/>
  <c r="AX86" i="2" s="1"/>
  <c r="AQ87" i="2"/>
  <c r="AX87" i="2" s="1"/>
  <c r="AQ88" i="2"/>
  <c r="AX88" i="2" s="1"/>
  <c r="AQ89" i="2"/>
  <c r="AX89" i="2" s="1"/>
  <c r="AQ90" i="2"/>
  <c r="AX90" i="2" s="1"/>
  <c r="AQ91" i="2"/>
  <c r="AX91" i="2" s="1"/>
  <c r="AQ92" i="2"/>
  <c r="AX92" i="2" s="1"/>
  <c r="AQ93" i="2"/>
  <c r="AX93" i="2" s="1"/>
  <c r="AQ94" i="2"/>
  <c r="AX94" i="2" s="1"/>
  <c r="AQ95" i="2"/>
  <c r="AX95" i="2" s="1"/>
  <c r="AQ96" i="2"/>
  <c r="AX96" i="2" s="1"/>
  <c r="AQ97" i="2"/>
  <c r="AX97" i="2" s="1"/>
  <c r="AQ98" i="2"/>
  <c r="AX98" i="2" s="1"/>
  <c r="AQ99" i="2"/>
  <c r="AX99" i="2" s="1"/>
  <c r="AQ100" i="2"/>
  <c r="AX100" i="2" s="1"/>
  <c r="AQ101" i="2"/>
  <c r="AX101" i="2" s="1"/>
  <c r="AQ102" i="2"/>
  <c r="AX102" i="2" s="1"/>
  <c r="AQ103" i="2"/>
  <c r="AX103" i="2" s="1"/>
  <c r="AQ104" i="2"/>
  <c r="AX104" i="2" s="1"/>
  <c r="AQ105" i="2"/>
  <c r="AX105" i="2" s="1"/>
  <c r="AQ106" i="2"/>
  <c r="AX106" i="2" s="1"/>
  <c r="AQ107" i="2"/>
  <c r="AX107" i="2" s="1"/>
  <c r="AQ108" i="2"/>
  <c r="AX108" i="2" s="1"/>
  <c r="AQ109" i="2"/>
  <c r="AX109" i="2" s="1"/>
  <c r="AQ4" i="2"/>
  <c r="AX4" i="2" s="1"/>
  <c r="AP4" i="2"/>
  <c r="AW4" i="2" s="1"/>
  <c r="AP5" i="2"/>
  <c r="AW5" i="2" s="1"/>
  <c r="AP6" i="2"/>
  <c r="AW6" i="2" s="1"/>
  <c r="AP7" i="2"/>
  <c r="AW7" i="2" s="1"/>
  <c r="AP8" i="2"/>
  <c r="AW8" i="2" s="1"/>
  <c r="AP9" i="2"/>
  <c r="AW9" i="2" s="1"/>
  <c r="AP10" i="2"/>
  <c r="AW10" i="2" s="1"/>
  <c r="AP11" i="2"/>
  <c r="AW11" i="2" s="1"/>
  <c r="AP12" i="2"/>
  <c r="AW12" i="2" s="1"/>
  <c r="AP13" i="2"/>
  <c r="AW13" i="2" s="1"/>
  <c r="AP14" i="2"/>
  <c r="AW14" i="2" s="1"/>
  <c r="AP15" i="2"/>
  <c r="AW15" i="2" s="1"/>
  <c r="AP16" i="2"/>
  <c r="AW16" i="2" s="1"/>
  <c r="AP17" i="2"/>
  <c r="AW17" i="2" s="1"/>
  <c r="AP18" i="2"/>
  <c r="AW18" i="2" s="1"/>
  <c r="AP19" i="2"/>
  <c r="AW19" i="2" s="1"/>
  <c r="AP20" i="2"/>
  <c r="AW20" i="2" s="1"/>
  <c r="AP21" i="2"/>
  <c r="AW21" i="2" s="1"/>
  <c r="AP22" i="2"/>
  <c r="AW22" i="2" s="1"/>
  <c r="AP23" i="2"/>
  <c r="AW23" i="2" s="1"/>
  <c r="AP24" i="2"/>
  <c r="AW24" i="2" s="1"/>
  <c r="AP25" i="2"/>
  <c r="AW25" i="2" s="1"/>
  <c r="AP26" i="2"/>
  <c r="AW26" i="2" s="1"/>
  <c r="AP27" i="2"/>
  <c r="AW27" i="2" s="1"/>
  <c r="AP28" i="2"/>
  <c r="AW28" i="2" s="1"/>
  <c r="AP29" i="2"/>
  <c r="AW29" i="2" s="1"/>
  <c r="AP30" i="2"/>
  <c r="AW30" i="2" s="1"/>
  <c r="AP31" i="2"/>
  <c r="AW31" i="2" s="1"/>
  <c r="AP32" i="2"/>
  <c r="AW32" i="2" s="1"/>
  <c r="AP33" i="2"/>
  <c r="AW33" i="2" s="1"/>
  <c r="AP34" i="2"/>
  <c r="AW34" i="2" s="1"/>
  <c r="AP35" i="2"/>
  <c r="AW35" i="2" s="1"/>
  <c r="AP36" i="2"/>
  <c r="AW36" i="2" s="1"/>
  <c r="AP37" i="2"/>
  <c r="AW37" i="2" s="1"/>
  <c r="AP38" i="2"/>
  <c r="AW38" i="2" s="1"/>
  <c r="AP39" i="2"/>
  <c r="AW39" i="2" s="1"/>
  <c r="AP40" i="2"/>
  <c r="AW40" i="2" s="1"/>
  <c r="AP41" i="2"/>
  <c r="AW41" i="2" s="1"/>
  <c r="AP42" i="2"/>
  <c r="AW42" i="2" s="1"/>
  <c r="AP43" i="2"/>
  <c r="AW43" i="2" s="1"/>
  <c r="AP44" i="2"/>
  <c r="AW44" i="2" s="1"/>
  <c r="AP45" i="2"/>
  <c r="AW45" i="2" s="1"/>
  <c r="AP46" i="2"/>
  <c r="AW46" i="2" s="1"/>
  <c r="AP47" i="2"/>
  <c r="AW47" i="2" s="1"/>
  <c r="AP48" i="2"/>
  <c r="AW48" i="2" s="1"/>
  <c r="AP49" i="2"/>
  <c r="AW49" i="2" s="1"/>
  <c r="AP50" i="2"/>
  <c r="AW50" i="2" s="1"/>
  <c r="AP51" i="2"/>
  <c r="AW51" i="2" s="1"/>
  <c r="AP52" i="2"/>
  <c r="AW52" i="2" s="1"/>
  <c r="AP53" i="2"/>
  <c r="AW53" i="2" s="1"/>
  <c r="AP54" i="2"/>
  <c r="AW54" i="2" s="1"/>
  <c r="AP55" i="2"/>
  <c r="AW55" i="2" s="1"/>
  <c r="AP56" i="2"/>
  <c r="AW56" i="2" s="1"/>
  <c r="AP57" i="2"/>
  <c r="AW57" i="2" s="1"/>
  <c r="AP58" i="2"/>
  <c r="AW58" i="2" s="1"/>
  <c r="AP59" i="2"/>
  <c r="AW59" i="2" s="1"/>
  <c r="AP60" i="2"/>
  <c r="AW60" i="2" s="1"/>
  <c r="AP61" i="2"/>
  <c r="AW61" i="2" s="1"/>
  <c r="AP62" i="2"/>
  <c r="AW62" i="2" s="1"/>
  <c r="AP63" i="2"/>
  <c r="AW63" i="2" s="1"/>
  <c r="AP64" i="2"/>
  <c r="AW64" i="2" s="1"/>
  <c r="AP65" i="2"/>
  <c r="AW65" i="2" s="1"/>
  <c r="AP66" i="2"/>
  <c r="AW66" i="2" s="1"/>
  <c r="AP67" i="2"/>
  <c r="AW67" i="2" s="1"/>
  <c r="AP68" i="2"/>
  <c r="AW68" i="2" s="1"/>
  <c r="AP69" i="2"/>
  <c r="AW69" i="2" s="1"/>
  <c r="AP70" i="2"/>
  <c r="AW70" i="2" s="1"/>
  <c r="AP71" i="2"/>
  <c r="AW71" i="2" s="1"/>
  <c r="AP72" i="2"/>
  <c r="AW72" i="2" s="1"/>
  <c r="AP73" i="2"/>
  <c r="AW73" i="2" s="1"/>
  <c r="AP74" i="2"/>
  <c r="AW74" i="2" s="1"/>
  <c r="AP75" i="2"/>
  <c r="AW75" i="2" s="1"/>
  <c r="AP76" i="2"/>
  <c r="AW76" i="2" s="1"/>
  <c r="AP77" i="2"/>
  <c r="AW77" i="2" s="1"/>
  <c r="AP78" i="2"/>
  <c r="AW78" i="2" s="1"/>
  <c r="AP79" i="2"/>
  <c r="AW79" i="2" s="1"/>
  <c r="AP80" i="2"/>
  <c r="AW80" i="2" s="1"/>
  <c r="AP81" i="2"/>
  <c r="AW81" i="2" s="1"/>
  <c r="AP82" i="2"/>
  <c r="AW82" i="2" s="1"/>
  <c r="AP83" i="2"/>
  <c r="AW83" i="2" s="1"/>
  <c r="AP84" i="2"/>
  <c r="AW84" i="2" s="1"/>
  <c r="AP86" i="2"/>
  <c r="AW86" i="2" s="1"/>
  <c r="AP87" i="2"/>
  <c r="AW87" i="2" s="1"/>
  <c r="AP88" i="2"/>
  <c r="AW88" i="2" s="1"/>
  <c r="AP89" i="2"/>
  <c r="AW89" i="2" s="1"/>
  <c r="AP90" i="2"/>
  <c r="AW90" i="2" s="1"/>
  <c r="AP91" i="2"/>
  <c r="AW91" i="2" s="1"/>
  <c r="AP92" i="2"/>
  <c r="AW92" i="2" s="1"/>
  <c r="AP93" i="2"/>
  <c r="AW93" i="2" s="1"/>
  <c r="AP94" i="2"/>
  <c r="AW94" i="2" s="1"/>
  <c r="AP95" i="2"/>
  <c r="AW95" i="2" s="1"/>
  <c r="AP96" i="2"/>
  <c r="AW96" i="2" s="1"/>
  <c r="AP97" i="2"/>
  <c r="AW97" i="2" s="1"/>
  <c r="AP98" i="2"/>
  <c r="AW98" i="2" s="1"/>
  <c r="AP99" i="2"/>
  <c r="AW99" i="2" s="1"/>
  <c r="AP100" i="2"/>
  <c r="AW100" i="2" s="1"/>
  <c r="AP101" i="2"/>
  <c r="AW101" i="2" s="1"/>
  <c r="AP102" i="2"/>
  <c r="AW102" i="2" s="1"/>
  <c r="AP103" i="2"/>
  <c r="AW103" i="2" s="1"/>
  <c r="AP104" i="2"/>
  <c r="AW104" i="2" s="1"/>
  <c r="AP105" i="2"/>
  <c r="AW105" i="2" s="1"/>
  <c r="AP106" i="2"/>
  <c r="AW106" i="2" s="1"/>
  <c r="AP107" i="2"/>
  <c r="AW107" i="2" s="1"/>
  <c r="AP108" i="2"/>
  <c r="AW108" i="2" s="1"/>
  <c r="AP109" i="2"/>
  <c r="AW109" i="2" s="1"/>
  <c r="AO4" i="2"/>
  <c r="AV4" i="2" s="1"/>
  <c r="AO5" i="2"/>
  <c r="AV5" i="2" s="1"/>
  <c r="AO6" i="2"/>
  <c r="AV6" i="2" s="1"/>
  <c r="AO7" i="2"/>
  <c r="AV7" i="2" s="1"/>
  <c r="AO8" i="2"/>
  <c r="AV8" i="2" s="1"/>
  <c r="AO9" i="2"/>
  <c r="AV9" i="2" s="1"/>
  <c r="AO10" i="2"/>
  <c r="AV10" i="2" s="1"/>
  <c r="AO11" i="2"/>
  <c r="AV11" i="2" s="1"/>
  <c r="AO12" i="2"/>
  <c r="AV12" i="2" s="1"/>
  <c r="AO13" i="2"/>
  <c r="AV13" i="2" s="1"/>
  <c r="AO14" i="2"/>
  <c r="AV14" i="2" s="1"/>
  <c r="AO15" i="2"/>
  <c r="AV15" i="2" s="1"/>
  <c r="AO16" i="2"/>
  <c r="AV16" i="2" s="1"/>
  <c r="AO17" i="2"/>
  <c r="AV17" i="2" s="1"/>
  <c r="AO18" i="2"/>
  <c r="AV18" i="2" s="1"/>
  <c r="AO19" i="2"/>
  <c r="AV19" i="2" s="1"/>
  <c r="AO20" i="2"/>
  <c r="AV20" i="2" s="1"/>
  <c r="AO21" i="2"/>
  <c r="AV21" i="2" s="1"/>
  <c r="AO22" i="2"/>
  <c r="AV22" i="2" s="1"/>
  <c r="AO23" i="2"/>
  <c r="AV23" i="2" s="1"/>
  <c r="AO24" i="2"/>
  <c r="AV24" i="2" s="1"/>
  <c r="AO25" i="2"/>
  <c r="AV25" i="2" s="1"/>
  <c r="AO26" i="2"/>
  <c r="AV26" i="2" s="1"/>
  <c r="AO27" i="2"/>
  <c r="AV27" i="2" s="1"/>
  <c r="AO28" i="2"/>
  <c r="AV28" i="2" s="1"/>
  <c r="AO29" i="2"/>
  <c r="AV29" i="2" s="1"/>
  <c r="AO30" i="2"/>
  <c r="AV30" i="2" s="1"/>
  <c r="AO31" i="2"/>
  <c r="AV31" i="2" s="1"/>
  <c r="AO32" i="2"/>
  <c r="AV32" i="2" s="1"/>
  <c r="AO33" i="2"/>
  <c r="AV33" i="2" s="1"/>
  <c r="AO34" i="2"/>
  <c r="AV34" i="2" s="1"/>
  <c r="AO35" i="2"/>
  <c r="AV35" i="2" s="1"/>
  <c r="AO36" i="2"/>
  <c r="AV36" i="2" s="1"/>
  <c r="AO37" i="2"/>
  <c r="AV37" i="2" s="1"/>
  <c r="AO38" i="2"/>
  <c r="AV38" i="2" s="1"/>
  <c r="AO39" i="2"/>
  <c r="AV39" i="2" s="1"/>
  <c r="AO40" i="2"/>
  <c r="AV40" i="2" s="1"/>
  <c r="AO41" i="2"/>
  <c r="AV41" i="2" s="1"/>
  <c r="AO42" i="2"/>
  <c r="AV42" i="2" s="1"/>
  <c r="AO43" i="2"/>
  <c r="AV43" i="2" s="1"/>
  <c r="AO44" i="2"/>
  <c r="AV44" i="2" s="1"/>
  <c r="AO45" i="2"/>
  <c r="AV45" i="2" s="1"/>
  <c r="AO46" i="2"/>
  <c r="AV46" i="2" s="1"/>
  <c r="AO47" i="2"/>
  <c r="AV47" i="2" s="1"/>
  <c r="AO48" i="2"/>
  <c r="AV48" i="2" s="1"/>
  <c r="AO49" i="2"/>
  <c r="AV49" i="2" s="1"/>
  <c r="AO50" i="2"/>
  <c r="AV50" i="2" s="1"/>
  <c r="AO51" i="2"/>
  <c r="AV51" i="2" s="1"/>
  <c r="AO52" i="2"/>
  <c r="AV52" i="2" s="1"/>
  <c r="AO53" i="2"/>
  <c r="AV53" i="2" s="1"/>
  <c r="AO54" i="2"/>
  <c r="AV54" i="2" s="1"/>
  <c r="AO55" i="2"/>
  <c r="AV55" i="2" s="1"/>
  <c r="AO56" i="2"/>
  <c r="AV56" i="2" s="1"/>
  <c r="AO57" i="2"/>
  <c r="AV57" i="2" s="1"/>
  <c r="AO58" i="2"/>
  <c r="AV58" i="2" s="1"/>
  <c r="AO59" i="2"/>
  <c r="AV59" i="2" s="1"/>
  <c r="AO60" i="2"/>
  <c r="AV60" i="2" s="1"/>
  <c r="AO61" i="2"/>
  <c r="AV61" i="2" s="1"/>
  <c r="AO62" i="2"/>
  <c r="AV62" i="2" s="1"/>
  <c r="AO63" i="2"/>
  <c r="AV63" i="2" s="1"/>
  <c r="AO64" i="2"/>
  <c r="AV64" i="2" s="1"/>
  <c r="AO65" i="2"/>
  <c r="AV65" i="2" s="1"/>
  <c r="AO66" i="2"/>
  <c r="AV66" i="2" s="1"/>
  <c r="AO67" i="2"/>
  <c r="AV67" i="2" s="1"/>
  <c r="AO68" i="2"/>
  <c r="AV68" i="2" s="1"/>
  <c r="AO69" i="2"/>
  <c r="AV69" i="2" s="1"/>
  <c r="AO70" i="2"/>
  <c r="AV70" i="2" s="1"/>
  <c r="AO71" i="2"/>
  <c r="AV71" i="2" s="1"/>
  <c r="AO72" i="2"/>
  <c r="AV72" i="2" s="1"/>
  <c r="AO73" i="2"/>
  <c r="AV73" i="2" s="1"/>
  <c r="AO74" i="2"/>
  <c r="AV74" i="2" s="1"/>
  <c r="AO75" i="2"/>
  <c r="AV75" i="2" s="1"/>
  <c r="AO76" i="2"/>
  <c r="AV76" i="2" s="1"/>
  <c r="AO77" i="2"/>
  <c r="AV77" i="2" s="1"/>
  <c r="AO78" i="2"/>
  <c r="AV78" i="2" s="1"/>
  <c r="AO79" i="2"/>
  <c r="AV79" i="2" s="1"/>
  <c r="AO80" i="2"/>
  <c r="AV80" i="2" s="1"/>
  <c r="AO81" i="2"/>
  <c r="AV81" i="2" s="1"/>
  <c r="AO82" i="2"/>
  <c r="AV82" i="2" s="1"/>
  <c r="AO83" i="2"/>
  <c r="AV83" i="2" s="1"/>
  <c r="AO84" i="2"/>
  <c r="AV84" i="2" s="1"/>
  <c r="AO85" i="2"/>
  <c r="AO86" i="2"/>
  <c r="AV86" i="2" s="1"/>
  <c r="AO87" i="2"/>
  <c r="AV87" i="2" s="1"/>
  <c r="AO88" i="2"/>
  <c r="AV88" i="2" s="1"/>
  <c r="AO89" i="2"/>
  <c r="AV89" i="2" s="1"/>
  <c r="AO90" i="2"/>
  <c r="AV90" i="2" s="1"/>
  <c r="AO91" i="2"/>
  <c r="AV91" i="2" s="1"/>
  <c r="AO92" i="2"/>
  <c r="AV92" i="2" s="1"/>
  <c r="AO93" i="2"/>
  <c r="AV93" i="2" s="1"/>
  <c r="AO94" i="2"/>
  <c r="AV94" i="2" s="1"/>
  <c r="AO95" i="2"/>
  <c r="AV95" i="2" s="1"/>
  <c r="AO96" i="2"/>
  <c r="AV96" i="2" s="1"/>
  <c r="AO97" i="2"/>
  <c r="AV97" i="2" s="1"/>
  <c r="AO98" i="2"/>
  <c r="AV98" i="2" s="1"/>
  <c r="AO99" i="2"/>
  <c r="AV99" i="2" s="1"/>
  <c r="AO100" i="2"/>
  <c r="AV100" i="2" s="1"/>
  <c r="AO101" i="2"/>
  <c r="AV101" i="2" s="1"/>
  <c r="AO102" i="2"/>
  <c r="AV102" i="2" s="1"/>
  <c r="AO103" i="2"/>
  <c r="AV103" i="2" s="1"/>
  <c r="AO104" i="2"/>
  <c r="AV104" i="2" s="1"/>
  <c r="AO105" i="2"/>
  <c r="AV105" i="2" s="1"/>
  <c r="AO106" i="2"/>
  <c r="AV106" i="2" s="1"/>
  <c r="AO107" i="2"/>
  <c r="AV107" i="2" s="1"/>
  <c r="AO108" i="2"/>
  <c r="AV108" i="2" s="1"/>
  <c r="AO109" i="2"/>
  <c r="AV109" i="2" s="1"/>
  <c r="AN4" i="2"/>
  <c r="AU4" i="2" s="1"/>
  <c r="AM4" i="2"/>
  <c r="AT4" i="2" s="1"/>
  <c r="AM5" i="2"/>
  <c r="AT5" i="2" s="1"/>
  <c r="AM6" i="2"/>
  <c r="AT6" i="2" s="1"/>
  <c r="AM7" i="2"/>
  <c r="AT7" i="2" s="1"/>
  <c r="AM8" i="2"/>
  <c r="AT8" i="2" s="1"/>
  <c r="AM9" i="2"/>
  <c r="AT9" i="2" s="1"/>
  <c r="AM10" i="2"/>
  <c r="AT10" i="2" s="1"/>
  <c r="AM11" i="2"/>
  <c r="AT11" i="2" s="1"/>
  <c r="AM12" i="2"/>
  <c r="AT12" i="2" s="1"/>
  <c r="AM13" i="2"/>
  <c r="AT13" i="2" s="1"/>
  <c r="AM14" i="2"/>
  <c r="AT14" i="2" s="1"/>
  <c r="AM15" i="2"/>
  <c r="AT15" i="2" s="1"/>
  <c r="AM16" i="2"/>
  <c r="AT16" i="2" s="1"/>
  <c r="AM17" i="2"/>
  <c r="AT17" i="2" s="1"/>
  <c r="AM18" i="2"/>
  <c r="AT18" i="2" s="1"/>
  <c r="AM19" i="2"/>
  <c r="AT19" i="2" s="1"/>
  <c r="AM20" i="2"/>
  <c r="AT20" i="2" s="1"/>
  <c r="AM21" i="2"/>
  <c r="AT21" i="2" s="1"/>
  <c r="AM22" i="2"/>
  <c r="AT22" i="2" s="1"/>
  <c r="AM23" i="2"/>
  <c r="AT23" i="2" s="1"/>
  <c r="AM24" i="2"/>
  <c r="AT24" i="2" s="1"/>
  <c r="AM25" i="2"/>
  <c r="AT25" i="2" s="1"/>
  <c r="AM26" i="2"/>
  <c r="AT26" i="2" s="1"/>
  <c r="AM27" i="2"/>
  <c r="AT27" i="2" s="1"/>
  <c r="AM28" i="2"/>
  <c r="AT28" i="2" s="1"/>
  <c r="AM29" i="2"/>
  <c r="AT29" i="2" s="1"/>
  <c r="AM30" i="2"/>
  <c r="AT30" i="2" s="1"/>
  <c r="AM31" i="2"/>
  <c r="AT31" i="2" s="1"/>
  <c r="AM32" i="2"/>
  <c r="AT32" i="2" s="1"/>
  <c r="AM33" i="2"/>
  <c r="AT33" i="2" s="1"/>
  <c r="AM34" i="2"/>
  <c r="AT34" i="2" s="1"/>
  <c r="AM35" i="2"/>
  <c r="AT35" i="2" s="1"/>
  <c r="AM36" i="2"/>
  <c r="AT36" i="2" s="1"/>
  <c r="AM37" i="2"/>
  <c r="AT37" i="2" s="1"/>
  <c r="AM38" i="2"/>
  <c r="AT38" i="2" s="1"/>
  <c r="AM39" i="2"/>
  <c r="AT39" i="2" s="1"/>
  <c r="AM40" i="2"/>
  <c r="AT40" i="2" s="1"/>
  <c r="AM41" i="2"/>
  <c r="AT41" i="2" s="1"/>
  <c r="AM42" i="2"/>
  <c r="AT42" i="2" s="1"/>
  <c r="AM43" i="2"/>
  <c r="AT43" i="2" s="1"/>
  <c r="AM44" i="2"/>
  <c r="AT44" i="2" s="1"/>
  <c r="AM45" i="2"/>
  <c r="AT45" i="2" s="1"/>
  <c r="AM46" i="2"/>
  <c r="AT46" i="2" s="1"/>
  <c r="AM47" i="2"/>
  <c r="AT47" i="2" s="1"/>
  <c r="AM48" i="2"/>
  <c r="AT48" i="2" s="1"/>
  <c r="AM49" i="2"/>
  <c r="AT49" i="2" s="1"/>
  <c r="AM50" i="2"/>
  <c r="AT50" i="2" s="1"/>
  <c r="AM51" i="2"/>
  <c r="AT51" i="2" s="1"/>
  <c r="AM52" i="2"/>
  <c r="AT52" i="2" s="1"/>
  <c r="AM53" i="2"/>
  <c r="AT53" i="2" s="1"/>
  <c r="AM54" i="2"/>
  <c r="AT54" i="2" s="1"/>
  <c r="AM55" i="2"/>
  <c r="AT55" i="2" s="1"/>
  <c r="AM56" i="2"/>
  <c r="AT56" i="2" s="1"/>
  <c r="AM57" i="2"/>
  <c r="AT57" i="2" s="1"/>
  <c r="AM58" i="2"/>
  <c r="AT58" i="2" s="1"/>
  <c r="AM59" i="2"/>
  <c r="AT59" i="2" s="1"/>
  <c r="AM60" i="2"/>
  <c r="AT60" i="2" s="1"/>
  <c r="AM61" i="2"/>
  <c r="AT61" i="2" s="1"/>
  <c r="AM62" i="2"/>
  <c r="AT62" i="2" s="1"/>
  <c r="AM63" i="2"/>
  <c r="AT63" i="2" s="1"/>
  <c r="AM64" i="2"/>
  <c r="AT64" i="2" s="1"/>
  <c r="AM65" i="2"/>
  <c r="AT65" i="2" s="1"/>
  <c r="AM66" i="2"/>
  <c r="AT66" i="2" s="1"/>
  <c r="AM67" i="2"/>
  <c r="AT67" i="2" s="1"/>
  <c r="AM68" i="2"/>
  <c r="AT68" i="2" s="1"/>
  <c r="AM69" i="2"/>
  <c r="AT69" i="2" s="1"/>
  <c r="AM70" i="2"/>
  <c r="AT70" i="2" s="1"/>
  <c r="AM71" i="2"/>
  <c r="AT71" i="2" s="1"/>
  <c r="AM72" i="2"/>
  <c r="AT72" i="2" s="1"/>
  <c r="AM73" i="2"/>
  <c r="AT73" i="2" s="1"/>
  <c r="AM74" i="2"/>
  <c r="AT74" i="2" s="1"/>
  <c r="AM75" i="2"/>
  <c r="AT75" i="2" s="1"/>
  <c r="AM76" i="2"/>
  <c r="AT76" i="2" s="1"/>
  <c r="AM77" i="2"/>
  <c r="AT77" i="2" s="1"/>
  <c r="AM78" i="2"/>
  <c r="AT78" i="2" s="1"/>
  <c r="AM79" i="2"/>
  <c r="AT79" i="2" s="1"/>
  <c r="AM80" i="2"/>
  <c r="AT80" i="2" s="1"/>
  <c r="AM81" i="2"/>
  <c r="AT81" i="2" s="1"/>
  <c r="AM82" i="2"/>
  <c r="AT82" i="2" s="1"/>
  <c r="AM83" i="2"/>
  <c r="AT83" i="2" s="1"/>
  <c r="AM84" i="2"/>
  <c r="AT84" i="2" s="1"/>
  <c r="AM85" i="2"/>
  <c r="AM86" i="2"/>
  <c r="AT86" i="2" s="1"/>
  <c r="AM87" i="2"/>
  <c r="AT87" i="2" s="1"/>
  <c r="AM88" i="2"/>
  <c r="AT88" i="2" s="1"/>
  <c r="AM89" i="2"/>
  <c r="AT89" i="2" s="1"/>
  <c r="AM90" i="2"/>
  <c r="AT90" i="2" s="1"/>
  <c r="AM91" i="2"/>
  <c r="AT91" i="2" s="1"/>
  <c r="AM92" i="2"/>
  <c r="AT92" i="2" s="1"/>
  <c r="AM93" i="2"/>
  <c r="AT93" i="2" s="1"/>
  <c r="AM94" i="2"/>
  <c r="AT94" i="2" s="1"/>
  <c r="AM95" i="2"/>
  <c r="AT95" i="2" s="1"/>
  <c r="AM96" i="2"/>
  <c r="AT96" i="2" s="1"/>
  <c r="AM97" i="2"/>
  <c r="AT97" i="2" s="1"/>
  <c r="AM98" i="2"/>
  <c r="AT98" i="2" s="1"/>
  <c r="AM99" i="2"/>
  <c r="AT99" i="2" s="1"/>
  <c r="AM100" i="2"/>
  <c r="AT100" i="2" s="1"/>
  <c r="AM101" i="2"/>
  <c r="AT101" i="2" s="1"/>
  <c r="AM102" i="2"/>
  <c r="AT102" i="2" s="1"/>
  <c r="AM103" i="2"/>
  <c r="AT103" i="2" s="1"/>
  <c r="AM104" i="2"/>
  <c r="AT104" i="2" s="1"/>
  <c r="AM105" i="2"/>
  <c r="AT105" i="2" s="1"/>
  <c r="AM106" i="2"/>
  <c r="AT106" i="2" s="1"/>
  <c r="AM107" i="2"/>
  <c r="AT107" i="2" s="1"/>
  <c r="AM108" i="2"/>
  <c r="AT108" i="2" s="1"/>
  <c r="AM109" i="2"/>
  <c r="AT109" i="2" s="1"/>
  <c r="AL4" i="2"/>
  <c r="AR4" i="2" s="1"/>
  <c r="AS4" i="2" s="1"/>
  <c r="AK4" i="2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55" i="2"/>
  <c r="BX56" i="2"/>
  <c r="BX57" i="2"/>
  <c r="BX58" i="2"/>
  <c r="BX59" i="2"/>
  <c r="BX60" i="2"/>
  <c r="BX61" i="2"/>
  <c r="BX62" i="2"/>
  <c r="BX63" i="2"/>
  <c r="BX64" i="2"/>
  <c r="BX65" i="2"/>
  <c r="BX66" i="2"/>
  <c r="BX67" i="2"/>
  <c r="BX68" i="2"/>
  <c r="BX69" i="2"/>
  <c r="BX70" i="2"/>
  <c r="BX71" i="2"/>
  <c r="BX72" i="2"/>
  <c r="BX73" i="2"/>
  <c r="BX74" i="2"/>
  <c r="BX75" i="2"/>
  <c r="BX76" i="2"/>
  <c r="BX77" i="2"/>
  <c r="BX78" i="2"/>
  <c r="BX79" i="2"/>
  <c r="BX80" i="2"/>
  <c r="BX81" i="2"/>
  <c r="BX82" i="2"/>
  <c r="BX83" i="2"/>
  <c r="BX84" i="2"/>
  <c r="BX85" i="2"/>
  <c r="BX86" i="2"/>
  <c r="BX87" i="2"/>
  <c r="BX88" i="2"/>
  <c r="BX89" i="2"/>
  <c r="BX90" i="2"/>
  <c r="BX91" i="2"/>
  <c r="BX92" i="2"/>
  <c r="BX93" i="2"/>
  <c r="BX94" i="2"/>
  <c r="BX95" i="2"/>
  <c r="BX96" i="2"/>
  <c r="BX97" i="2"/>
  <c r="BX98" i="2"/>
  <c r="BX99" i="2"/>
  <c r="BX100" i="2"/>
  <c r="BX101" i="2"/>
  <c r="BX102" i="2"/>
  <c r="BX103" i="2"/>
  <c r="BX104" i="2"/>
  <c r="BX105" i="2"/>
  <c r="BX106" i="2"/>
  <c r="BX107" i="2"/>
  <c r="BX108" i="2"/>
  <c r="BX109" i="2"/>
  <c r="BX110" i="2"/>
  <c r="BX111" i="2"/>
  <c r="BX112" i="2"/>
  <c r="BX113" i="2"/>
  <c r="BX114" i="2"/>
  <c r="BX115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BD61" i="2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4" i="2"/>
  <c r="S5" i="2"/>
  <c r="Z5" i="2" s="1"/>
  <c r="S6" i="2"/>
  <c r="Z6" i="2" s="1"/>
  <c r="S7" i="2"/>
  <c r="Z7" i="2" s="1"/>
  <c r="S8" i="2"/>
  <c r="Z8" i="2" s="1"/>
  <c r="S9" i="2"/>
  <c r="Z9" i="2" s="1"/>
  <c r="S10" i="2"/>
  <c r="Z10" i="2" s="1"/>
  <c r="S11" i="2"/>
  <c r="Z11" i="2" s="1"/>
  <c r="S12" i="2"/>
  <c r="Z12" i="2" s="1"/>
  <c r="S13" i="2"/>
  <c r="Z13" i="2" s="1"/>
  <c r="S14" i="2"/>
  <c r="Z14" i="2" s="1"/>
  <c r="S15" i="2"/>
  <c r="Z15" i="2" s="1"/>
  <c r="S16" i="2"/>
  <c r="Z16" i="2" s="1"/>
  <c r="S17" i="2"/>
  <c r="Z17" i="2" s="1"/>
  <c r="S18" i="2"/>
  <c r="Z18" i="2" s="1"/>
  <c r="S19" i="2"/>
  <c r="Z19" i="2" s="1"/>
  <c r="S20" i="2"/>
  <c r="Z20" i="2" s="1"/>
  <c r="S21" i="2"/>
  <c r="Z21" i="2" s="1"/>
  <c r="S22" i="2"/>
  <c r="Z22" i="2" s="1"/>
  <c r="S23" i="2"/>
  <c r="Z23" i="2" s="1"/>
  <c r="S24" i="2"/>
  <c r="Z24" i="2" s="1"/>
  <c r="S25" i="2"/>
  <c r="Z25" i="2" s="1"/>
  <c r="S26" i="2"/>
  <c r="Z26" i="2" s="1"/>
  <c r="S27" i="2"/>
  <c r="Z27" i="2" s="1"/>
  <c r="S28" i="2"/>
  <c r="Z28" i="2" s="1"/>
  <c r="S29" i="2"/>
  <c r="Z29" i="2" s="1"/>
  <c r="S30" i="2"/>
  <c r="Z30" i="2" s="1"/>
  <c r="S31" i="2"/>
  <c r="Z31" i="2" s="1"/>
  <c r="S32" i="2"/>
  <c r="Z32" i="2" s="1"/>
  <c r="S33" i="2"/>
  <c r="Z33" i="2" s="1"/>
  <c r="S34" i="2"/>
  <c r="Z34" i="2" s="1"/>
  <c r="S35" i="2"/>
  <c r="Z35" i="2" s="1"/>
  <c r="S36" i="2"/>
  <c r="Z36" i="2" s="1"/>
  <c r="S37" i="2"/>
  <c r="Z37" i="2" s="1"/>
  <c r="S38" i="2"/>
  <c r="Z38" i="2" s="1"/>
  <c r="S39" i="2"/>
  <c r="Z39" i="2" s="1"/>
  <c r="S40" i="2"/>
  <c r="Z40" i="2" s="1"/>
  <c r="S41" i="2"/>
  <c r="Z41" i="2" s="1"/>
  <c r="S42" i="2"/>
  <c r="Z42" i="2" s="1"/>
  <c r="S43" i="2"/>
  <c r="Z43" i="2" s="1"/>
  <c r="S44" i="2"/>
  <c r="Z44" i="2" s="1"/>
  <c r="S45" i="2"/>
  <c r="Z45" i="2" s="1"/>
  <c r="S46" i="2"/>
  <c r="Z46" i="2" s="1"/>
  <c r="S47" i="2"/>
  <c r="Z47" i="2" s="1"/>
  <c r="S48" i="2"/>
  <c r="Z48" i="2" s="1"/>
  <c r="S49" i="2"/>
  <c r="Z49" i="2" s="1"/>
  <c r="S50" i="2"/>
  <c r="Z50" i="2" s="1"/>
  <c r="S51" i="2"/>
  <c r="Z51" i="2" s="1"/>
  <c r="S52" i="2"/>
  <c r="Z52" i="2" s="1"/>
  <c r="S53" i="2"/>
  <c r="Z53" i="2" s="1"/>
  <c r="S54" i="2"/>
  <c r="Z54" i="2" s="1"/>
  <c r="S55" i="2"/>
  <c r="Z55" i="2" s="1"/>
  <c r="S56" i="2"/>
  <c r="Z56" i="2" s="1"/>
  <c r="S57" i="2"/>
  <c r="Z57" i="2" s="1"/>
  <c r="S58" i="2"/>
  <c r="Z58" i="2" s="1"/>
  <c r="S59" i="2"/>
  <c r="Z59" i="2" s="1"/>
  <c r="S60" i="2"/>
  <c r="Z60" i="2" s="1"/>
  <c r="S61" i="2"/>
  <c r="Z61" i="2" s="1"/>
  <c r="S62" i="2"/>
  <c r="Z62" i="2" s="1"/>
  <c r="S63" i="2"/>
  <c r="Z63" i="2" s="1"/>
  <c r="S64" i="2"/>
  <c r="Z64" i="2" s="1"/>
  <c r="S65" i="2"/>
  <c r="Z65" i="2" s="1"/>
  <c r="S66" i="2"/>
  <c r="Z66" i="2" s="1"/>
  <c r="S67" i="2"/>
  <c r="Z67" i="2" s="1"/>
  <c r="S68" i="2"/>
  <c r="Z68" i="2" s="1"/>
  <c r="S69" i="2"/>
  <c r="Z69" i="2" s="1"/>
  <c r="S70" i="2"/>
  <c r="Z70" i="2" s="1"/>
  <c r="S71" i="2"/>
  <c r="Z71" i="2" s="1"/>
  <c r="S72" i="2"/>
  <c r="Z72" i="2" s="1"/>
  <c r="S73" i="2"/>
  <c r="Z73" i="2" s="1"/>
  <c r="S74" i="2"/>
  <c r="Z74" i="2" s="1"/>
  <c r="S75" i="2"/>
  <c r="Z75" i="2" s="1"/>
  <c r="S76" i="2"/>
  <c r="Z76" i="2" s="1"/>
  <c r="S77" i="2"/>
  <c r="Z77" i="2" s="1"/>
  <c r="S78" i="2"/>
  <c r="Z78" i="2" s="1"/>
  <c r="S79" i="2"/>
  <c r="Z79" i="2" s="1"/>
  <c r="S80" i="2"/>
  <c r="Z80" i="2" s="1"/>
  <c r="S81" i="2"/>
  <c r="Z81" i="2" s="1"/>
  <c r="S82" i="2"/>
  <c r="Z82" i="2" s="1"/>
  <c r="S83" i="2"/>
  <c r="Z83" i="2" s="1"/>
  <c r="S84" i="2"/>
  <c r="Z84" i="2" s="1"/>
  <c r="S85" i="2"/>
  <c r="S86" i="2"/>
  <c r="Z86" i="2" s="1"/>
  <c r="S87" i="2"/>
  <c r="Z87" i="2" s="1"/>
  <c r="S88" i="2"/>
  <c r="Z88" i="2" s="1"/>
  <c r="S89" i="2"/>
  <c r="Z89" i="2" s="1"/>
  <c r="S90" i="2"/>
  <c r="Z90" i="2" s="1"/>
  <c r="S91" i="2"/>
  <c r="Z91" i="2" s="1"/>
  <c r="S92" i="2"/>
  <c r="Z92" i="2" s="1"/>
  <c r="S93" i="2"/>
  <c r="Z93" i="2" s="1"/>
  <c r="S94" i="2"/>
  <c r="Z94" i="2" s="1"/>
  <c r="S95" i="2"/>
  <c r="Z95" i="2" s="1"/>
  <c r="S96" i="2"/>
  <c r="Z96" i="2" s="1"/>
  <c r="S97" i="2"/>
  <c r="Z97" i="2" s="1"/>
  <c r="S98" i="2"/>
  <c r="Z98" i="2" s="1"/>
  <c r="S99" i="2"/>
  <c r="Z99" i="2" s="1"/>
  <c r="S100" i="2"/>
  <c r="Z100" i="2" s="1"/>
  <c r="S101" i="2"/>
  <c r="Z101" i="2" s="1"/>
  <c r="S102" i="2"/>
  <c r="Z102" i="2" s="1"/>
  <c r="S103" i="2"/>
  <c r="Z103" i="2" s="1"/>
  <c r="S104" i="2"/>
  <c r="Z104" i="2" s="1"/>
  <c r="S105" i="2"/>
  <c r="Z105" i="2" s="1"/>
  <c r="S106" i="2"/>
  <c r="Z106" i="2" s="1"/>
  <c r="S107" i="2"/>
  <c r="Z107" i="2" s="1"/>
  <c r="S108" i="2"/>
  <c r="Z108" i="2" s="1"/>
  <c r="S109" i="2"/>
  <c r="Z109" i="2" s="1"/>
  <c r="T5" i="2"/>
  <c r="AA5" i="2" s="1"/>
  <c r="T6" i="2"/>
  <c r="AA6" i="2" s="1"/>
  <c r="T7" i="2"/>
  <c r="AA7" i="2" s="1"/>
  <c r="T8" i="2"/>
  <c r="AA8" i="2" s="1"/>
  <c r="T9" i="2"/>
  <c r="AA9" i="2" s="1"/>
  <c r="T10" i="2"/>
  <c r="AA10" i="2" s="1"/>
  <c r="T11" i="2"/>
  <c r="AA11" i="2" s="1"/>
  <c r="T12" i="2"/>
  <c r="AA12" i="2" s="1"/>
  <c r="T13" i="2"/>
  <c r="AA13" i="2" s="1"/>
  <c r="T14" i="2"/>
  <c r="AA14" i="2" s="1"/>
  <c r="T15" i="2"/>
  <c r="AA15" i="2" s="1"/>
  <c r="T16" i="2"/>
  <c r="AA16" i="2" s="1"/>
  <c r="T17" i="2"/>
  <c r="AA17" i="2" s="1"/>
  <c r="T18" i="2"/>
  <c r="AA18" i="2" s="1"/>
  <c r="T19" i="2"/>
  <c r="AA19" i="2" s="1"/>
  <c r="T20" i="2"/>
  <c r="AA20" i="2" s="1"/>
  <c r="T21" i="2"/>
  <c r="AA21" i="2" s="1"/>
  <c r="T22" i="2"/>
  <c r="AA22" i="2" s="1"/>
  <c r="T23" i="2"/>
  <c r="AA23" i="2" s="1"/>
  <c r="T24" i="2"/>
  <c r="AA24" i="2" s="1"/>
  <c r="T25" i="2"/>
  <c r="AA25" i="2" s="1"/>
  <c r="T26" i="2"/>
  <c r="AA26" i="2" s="1"/>
  <c r="T27" i="2"/>
  <c r="AA27" i="2" s="1"/>
  <c r="T28" i="2"/>
  <c r="AA28" i="2" s="1"/>
  <c r="T29" i="2"/>
  <c r="AA29" i="2" s="1"/>
  <c r="T30" i="2"/>
  <c r="AA30" i="2" s="1"/>
  <c r="T31" i="2"/>
  <c r="AA31" i="2" s="1"/>
  <c r="T32" i="2"/>
  <c r="AA32" i="2" s="1"/>
  <c r="T33" i="2"/>
  <c r="AA33" i="2" s="1"/>
  <c r="T34" i="2"/>
  <c r="AA34" i="2" s="1"/>
  <c r="T35" i="2"/>
  <c r="AA35" i="2" s="1"/>
  <c r="T36" i="2"/>
  <c r="AA36" i="2" s="1"/>
  <c r="T37" i="2"/>
  <c r="AA37" i="2" s="1"/>
  <c r="T38" i="2"/>
  <c r="AA38" i="2" s="1"/>
  <c r="T39" i="2"/>
  <c r="AA39" i="2" s="1"/>
  <c r="T40" i="2"/>
  <c r="AA40" i="2" s="1"/>
  <c r="T41" i="2"/>
  <c r="AA41" i="2" s="1"/>
  <c r="T42" i="2"/>
  <c r="AA42" i="2" s="1"/>
  <c r="T43" i="2"/>
  <c r="AA43" i="2" s="1"/>
  <c r="T44" i="2"/>
  <c r="AA44" i="2" s="1"/>
  <c r="T45" i="2"/>
  <c r="AA45" i="2" s="1"/>
  <c r="T46" i="2"/>
  <c r="AA46" i="2" s="1"/>
  <c r="T47" i="2"/>
  <c r="AA47" i="2" s="1"/>
  <c r="T48" i="2"/>
  <c r="AA48" i="2" s="1"/>
  <c r="T49" i="2"/>
  <c r="AA49" i="2" s="1"/>
  <c r="T50" i="2"/>
  <c r="AA50" i="2" s="1"/>
  <c r="T51" i="2"/>
  <c r="AA51" i="2" s="1"/>
  <c r="T52" i="2"/>
  <c r="AA52" i="2" s="1"/>
  <c r="T53" i="2"/>
  <c r="AA53" i="2" s="1"/>
  <c r="T54" i="2"/>
  <c r="AA54" i="2" s="1"/>
  <c r="T55" i="2"/>
  <c r="AA55" i="2" s="1"/>
  <c r="T56" i="2"/>
  <c r="AA56" i="2" s="1"/>
  <c r="T57" i="2"/>
  <c r="AA57" i="2" s="1"/>
  <c r="T58" i="2"/>
  <c r="AA58" i="2" s="1"/>
  <c r="T59" i="2"/>
  <c r="AA59" i="2" s="1"/>
  <c r="T60" i="2"/>
  <c r="AA60" i="2" s="1"/>
  <c r="T61" i="2"/>
  <c r="AA61" i="2" s="1"/>
  <c r="T62" i="2"/>
  <c r="AA62" i="2" s="1"/>
  <c r="T63" i="2"/>
  <c r="AA63" i="2" s="1"/>
  <c r="T64" i="2"/>
  <c r="AA64" i="2" s="1"/>
  <c r="T65" i="2"/>
  <c r="AA65" i="2" s="1"/>
  <c r="T66" i="2"/>
  <c r="AA66" i="2" s="1"/>
  <c r="T67" i="2"/>
  <c r="AA67" i="2" s="1"/>
  <c r="T68" i="2"/>
  <c r="AA68" i="2" s="1"/>
  <c r="T69" i="2"/>
  <c r="AA69" i="2" s="1"/>
  <c r="T70" i="2"/>
  <c r="AA70" i="2" s="1"/>
  <c r="T71" i="2"/>
  <c r="AA71" i="2" s="1"/>
  <c r="T72" i="2"/>
  <c r="AA72" i="2" s="1"/>
  <c r="T73" i="2"/>
  <c r="AA73" i="2" s="1"/>
  <c r="T74" i="2"/>
  <c r="AA74" i="2" s="1"/>
  <c r="T75" i="2"/>
  <c r="AA75" i="2" s="1"/>
  <c r="T76" i="2"/>
  <c r="AA76" i="2" s="1"/>
  <c r="T77" i="2"/>
  <c r="AA77" i="2" s="1"/>
  <c r="T78" i="2"/>
  <c r="AA78" i="2" s="1"/>
  <c r="T79" i="2"/>
  <c r="AA79" i="2" s="1"/>
  <c r="T80" i="2"/>
  <c r="AA80" i="2" s="1"/>
  <c r="T81" i="2"/>
  <c r="AA81" i="2" s="1"/>
  <c r="T82" i="2"/>
  <c r="AA82" i="2" s="1"/>
  <c r="T83" i="2"/>
  <c r="AA83" i="2" s="1"/>
  <c r="T84" i="2"/>
  <c r="AA84" i="2" s="1"/>
  <c r="T86" i="2"/>
  <c r="AA86" i="2" s="1"/>
  <c r="T87" i="2"/>
  <c r="AA87" i="2" s="1"/>
  <c r="T88" i="2"/>
  <c r="AA88" i="2" s="1"/>
  <c r="T89" i="2"/>
  <c r="AA89" i="2" s="1"/>
  <c r="T90" i="2"/>
  <c r="AA90" i="2" s="1"/>
  <c r="T91" i="2"/>
  <c r="AA91" i="2" s="1"/>
  <c r="T92" i="2"/>
  <c r="AA92" i="2" s="1"/>
  <c r="T93" i="2"/>
  <c r="AA93" i="2" s="1"/>
  <c r="T94" i="2"/>
  <c r="AA94" i="2" s="1"/>
  <c r="T95" i="2"/>
  <c r="AA95" i="2" s="1"/>
  <c r="T96" i="2"/>
  <c r="AA96" i="2" s="1"/>
  <c r="T97" i="2"/>
  <c r="AA97" i="2" s="1"/>
  <c r="T98" i="2"/>
  <c r="AA98" i="2" s="1"/>
  <c r="T99" i="2"/>
  <c r="AA99" i="2" s="1"/>
  <c r="T100" i="2"/>
  <c r="AA100" i="2" s="1"/>
  <c r="T101" i="2"/>
  <c r="AA101" i="2" s="1"/>
  <c r="T102" i="2"/>
  <c r="AA102" i="2" s="1"/>
  <c r="T103" i="2"/>
  <c r="AA103" i="2" s="1"/>
  <c r="T104" i="2"/>
  <c r="AA104" i="2" s="1"/>
  <c r="T105" i="2"/>
  <c r="AA105" i="2" s="1"/>
  <c r="T106" i="2"/>
  <c r="AA106" i="2" s="1"/>
  <c r="T107" i="2"/>
  <c r="AA107" i="2" s="1"/>
  <c r="T108" i="2"/>
  <c r="AA108" i="2" s="1"/>
  <c r="T109" i="2"/>
  <c r="AA109" i="2" s="1"/>
  <c r="W4" i="2"/>
  <c r="AD4" i="2" s="1"/>
  <c r="W5" i="2"/>
  <c r="AD5" i="2" s="1"/>
  <c r="W6" i="2"/>
  <c r="AD6" i="2" s="1"/>
  <c r="W7" i="2"/>
  <c r="AD7" i="2" s="1"/>
  <c r="W8" i="2"/>
  <c r="AD8" i="2" s="1"/>
  <c r="W9" i="2"/>
  <c r="AD9" i="2" s="1"/>
  <c r="W10" i="2"/>
  <c r="AD10" i="2" s="1"/>
  <c r="W11" i="2"/>
  <c r="AD11" i="2" s="1"/>
  <c r="W12" i="2"/>
  <c r="AD12" i="2" s="1"/>
  <c r="W13" i="2"/>
  <c r="AD13" i="2" s="1"/>
  <c r="W14" i="2"/>
  <c r="AD14" i="2" s="1"/>
  <c r="W15" i="2"/>
  <c r="AD15" i="2" s="1"/>
  <c r="W16" i="2"/>
  <c r="AD16" i="2" s="1"/>
  <c r="W17" i="2"/>
  <c r="AD17" i="2" s="1"/>
  <c r="W18" i="2"/>
  <c r="AD18" i="2" s="1"/>
  <c r="W19" i="2"/>
  <c r="AD19" i="2" s="1"/>
  <c r="W20" i="2"/>
  <c r="AD20" i="2" s="1"/>
  <c r="W21" i="2"/>
  <c r="AD21" i="2" s="1"/>
  <c r="W22" i="2"/>
  <c r="AD22" i="2" s="1"/>
  <c r="W23" i="2"/>
  <c r="AD23" i="2" s="1"/>
  <c r="W24" i="2"/>
  <c r="AD24" i="2" s="1"/>
  <c r="W25" i="2"/>
  <c r="AD25" i="2" s="1"/>
  <c r="W26" i="2"/>
  <c r="AD26" i="2" s="1"/>
  <c r="W27" i="2"/>
  <c r="AD27" i="2" s="1"/>
  <c r="W28" i="2"/>
  <c r="AD28" i="2" s="1"/>
  <c r="W29" i="2"/>
  <c r="AD29" i="2" s="1"/>
  <c r="W30" i="2"/>
  <c r="AD30" i="2" s="1"/>
  <c r="W31" i="2"/>
  <c r="AD31" i="2" s="1"/>
  <c r="W32" i="2"/>
  <c r="AD32" i="2" s="1"/>
  <c r="W33" i="2"/>
  <c r="AD33" i="2" s="1"/>
  <c r="W34" i="2"/>
  <c r="AD34" i="2" s="1"/>
  <c r="W35" i="2"/>
  <c r="AD35" i="2" s="1"/>
  <c r="W36" i="2"/>
  <c r="AD36" i="2" s="1"/>
  <c r="W37" i="2"/>
  <c r="AD37" i="2" s="1"/>
  <c r="W38" i="2"/>
  <c r="AD38" i="2" s="1"/>
  <c r="W39" i="2"/>
  <c r="AD39" i="2" s="1"/>
  <c r="W40" i="2"/>
  <c r="AD40" i="2" s="1"/>
  <c r="W41" i="2"/>
  <c r="AD41" i="2" s="1"/>
  <c r="W42" i="2"/>
  <c r="AD42" i="2" s="1"/>
  <c r="W43" i="2"/>
  <c r="AD43" i="2" s="1"/>
  <c r="W44" i="2"/>
  <c r="AD44" i="2" s="1"/>
  <c r="W45" i="2"/>
  <c r="AD45" i="2" s="1"/>
  <c r="W46" i="2"/>
  <c r="AD46" i="2" s="1"/>
  <c r="W47" i="2"/>
  <c r="AD47" i="2" s="1"/>
  <c r="W48" i="2"/>
  <c r="AD48" i="2" s="1"/>
  <c r="W49" i="2"/>
  <c r="AD49" i="2" s="1"/>
  <c r="W50" i="2"/>
  <c r="AD50" i="2" s="1"/>
  <c r="W51" i="2"/>
  <c r="AD51" i="2" s="1"/>
  <c r="W52" i="2"/>
  <c r="AD52" i="2" s="1"/>
  <c r="W53" i="2"/>
  <c r="AD53" i="2" s="1"/>
  <c r="W54" i="2"/>
  <c r="AD54" i="2" s="1"/>
  <c r="W55" i="2"/>
  <c r="AD55" i="2" s="1"/>
  <c r="W56" i="2"/>
  <c r="AD56" i="2" s="1"/>
  <c r="W57" i="2"/>
  <c r="AD57" i="2" s="1"/>
  <c r="W58" i="2"/>
  <c r="AD58" i="2" s="1"/>
  <c r="W59" i="2"/>
  <c r="AD59" i="2" s="1"/>
  <c r="W60" i="2"/>
  <c r="AD60" i="2" s="1"/>
  <c r="W61" i="2"/>
  <c r="AD61" i="2" s="1"/>
  <c r="W62" i="2"/>
  <c r="AD62" i="2" s="1"/>
  <c r="W63" i="2"/>
  <c r="AD63" i="2" s="1"/>
  <c r="W64" i="2"/>
  <c r="AD64" i="2" s="1"/>
  <c r="W65" i="2"/>
  <c r="AD65" i="2" s="1"/>
  <c r="W66" i="2"/>
  <c r="AD66" i="2" s="1"/>
  <c r="W67" i="2"/>
  <c r="AD67" i="2" s="1"/>
  <c r="W68" i="2"/>
  <c r="AD68" i="2" s="1"/>
  <c r="W69" i="2"/>
  <c r="AD69" i="2" s="1"/>
  <c r="W70" i="2"/>
  <c r="AD70" i="2" s="1"/>
  <c r="W71" i="2"/>
  <c r="AD71" i="2" s="1"/>
  <c r="W72" i="2"/>
  <c r="AD72" i="2" s="1"/>
  <c r="W73" i="2"/>
  <c r="AD73" i="2" s="1"/>
  <c r="W74" i="2"/>
  <c r="AD74" i="2" s="1"/>
  <c r="W75" i="2"/>
  <c r="AD75" i="2" s="1"/>
  <c r="W76" i="2"/>
  <c r="AD76" i="2" s="1"/>
  <c r="W77" i="2"/>
  <c r="AD77" i="2" s="1"/>
  <c r="W78" i="2"/>
  <c r="AD78" i="2" s="1"/>
  <c r="W79" i="2"/>
  <c r="AD79" i="2" s="1"/>
  <c r="W80" i="2"/>
  <c r="AD80" i="2" s="1"/>
  <c r="W81" i="2"/>
  <c r="AD81" i="2" s="1"/>
  <c r="W82" i="2"/>
  <c r="AD82" i="2" s="1"/>
  <c r="W83" i="2"/>
  <c r="AD83" i="2" s="1"/>
  <c r="W84" i="2"/>
  <c r="AD84" i="2" s="1"/>
  <c r="W85" i="2"/>
  <c r="W86" i="2"/>
  <c r="AD86" i="2" s="1"/>
  <c r="W87" i="2"/>
  <c r="AD87" i="2" s="1"/>
  <c r="W88" i="2"/>
  <c r="AD88" i="2" s="1"/>
  <c r="W89" i="2"/>
  <c r="AD89" i="2" s="1"/>
  <c r="W90" i="2"/>
  <c r="AD90" i="2" s="1"/>
  <c r="W91" i="2"/>
  <c r="AD91" i="2" s="1"/>
  <c r="W92" i="2"/>
  <c r="AD92" i="2" s="1"/>
  <c r="W93" i="2"/>
  <c r="AD93" i="2" s="1"/>
  <c r="W94" i="2"/>
  <c r="AD94" i="2" s="1"/>
  <c r="W95" i="2"/>
  <c r="AD95" i="2" s="1"/>
  <c r="W96" i="2"/>
  <c r="AD96" i="2" s="1"/>
  <c r="W97" i="2"/>
  <c r="AD97" i="2" s="1"/>
  <c r="W98" i="2"/>
  <c r="AD98" i="2" s="1"/>
  <c r="W99" i="2"/>
  <c r="AD99" i="2" s="1"/>
  <c r="W100" i="2"/>
  <c r="AD100" i="2" s="1"/>
  <c r="W101" i="2"/>
  <c r="AD101" i="2" s="1"/>
  <c r="W102" i="2"/>
  <c r="AD102" i="2" s="1"/>
  <c r="W103" i="2"/>
  <c r="AD103" i="2" s="1"/>
  <c r="W104" i="2"/>
  <c r="AD104" i="2" s="1"/>
  <c r="W105" i="2"/>
  <c r="AD105" i="2" s="1"/>
  <c r="W106" i="2"/>
  <c r="AD106" i="2" s="1"/>
  <c r="W107" i="2"/>
  <c r="AD107" i="2" s="1"/>
  <c r="W108" i="2"/>
  <c r="AD108" i="2" s="1"/>
  <c r="W109" i="2"/>
  <c r="AD109" i="2" s="1"/>
  <c r="V4" i="2"/>
  <c r="AC4" i="2" s="1"/>
  <c r="V5" i="2"/>
  <c r="AC5" i="2" s="1"/>
  <c r="V6" i="2"/>
  <c r="AC6" i="2" s="1"/>
  <c r="V7" i="2"/>
  <c r="AC7" i="2" s="1"/>
  <c r="V8" i="2"/>
  <c r="AC8" i="2" s="1"/>
  <c r="V9" i="2"/>
  <c r="AC9" i="2" s="1"/>
  <c r="V10" i="2"/>
  <c r="AC10" i="2" s="1"/>
  <c r="V11" i="2"/>
  <c r="AC11" i="2" s="1"/>
  <c r="V12" i="2"/>
  <c r="AC12" i="2" s="1"/>
  <c r="V13" i="2"/>
  <c r="AC13" i="2" s="1"/>
  <c r="V14" i="2"/>
  <c r="AC14" i="2" s="1"/>
  <c r="V15" i="2"/>
  <c r="AC15" i="2" s="1"/>
  <c r="V16" i="2"/>
  <c r="AC16" i="2" s="1"/>
  <c r="V17" i="2"/>
  <c r="AC17" i="2" s="1"/>
  <c r="V18" i="2"/>
  <c r="AC18" i="2" s="1"/>
  <c r="V19" i="2"/>
  <c r="AC19" i="2" s="1"/>
  <c r="V20" i="2"/>
  <c r="AC20" i="2" s="1"/>
  <c r="V21" i="2"/>
  <c r="AC21" i="2" s="1"/>
  <c r="V22" i="2"/>
  <c r="AC22" i="2" s="1"/>
  <c r="V23" i="2"/>
  <c r="AC23" i="2" s="1"/>
  <c r="V24" i="2"/>
  <c r="AC24" i="2" s="1"/>
  <c r="V25" i="2"/>
  <c r="AC25" i="2" s="1"/>
  <c r="V26" i="2"/>
  <c r="AC26" i="2" s="1"/>
  <c r="V27" i="2"/>
  <c r="AC27" i="2" s="1"/>
  <c r="V28" i="2"/>
  <c r="AC28" i="2" s="1"/>
  <c r="V29" i="2"/>
  <c r="AC29" i="2" s="1"/>
  <c r="V30" i="2"/>
  <c r="AC30" i="2" s="1"/>
  <c r="V31" i="2"/>
  <c r="AC31" i="2" s="1"/>
  <c r="V32" i="2"/>
  <c r="AC32" i="2" s="1"/>
  <c r="V33" i="2"/>
  <c r="AC33" i="2" s="1"/>
  <c r="V34" i="2"/>
  <c r="AC34" i="2" s="1"/>
  <c r="V35" i="2"/>
  <c r="AC35" i="2" s="1"/>
  <c r="V36" i="2"/>
  <c r="AC36" i="2" s="1"/>
  <c r="V37" i="2"/>
  <c r="AC37" i="2" s="1"/>
  <c r="V38" i="2"/>
  <c r="AC38" i="2" s="1"/>
  <c r="V39" i="2"/>
  <c r="AC39" i="2" s="1"/>
  <c r="V40" i="2"/>
  <c r="AC40" i="2" s="1"/>
  <c r="V41" i="2"/>
  <c r="AC41" i="2" s="1"/>
  <c r="V42" i="2"/>
  <c r="AC42" i="2" s="1"/>
  <c r="V43" i="2"/>
  <c r="AC43" i="2" s="1"/>
  <c r="V44" i="2"/>
  <c r="AC44" i="2" s="1"/>
  <c r="V45" i="2"/>
  <c r="AC45" i="2" s="1"/>
  <c r="V46" i="2"/>
  <c r="AC46" i="2" s="1"/>
  <c r="V47" i="2"/>
  <c r="AC47" i="2" s="1"/>
  <c r="V48" i="2"/>
  <c r="AC48" i="2" s="1"/>
  <c r="V49" i="2"/>
  <c r="AC49" i="2" s="1"/>
  <c r="V50" i="2"/>
  <c r="AC50" i="2" s="1"/>
  <c r="V51" i="2"/>
  <c r="AC51" i="2" s="1"/>
  <c r="V52" i="2"/>
  <c r="AC52" i="2" s="1"/>
  <c r="V53" i="2"/>
  <c r="AC53" i="2" s="1"/>
  <c r="V54" i="2"/>
  <c r="AC54" i="2" s="1"/>
  <c r="V55" i="2"/>
  <c r="AC55" i="2" s="1"/>
  <c r="V56" i="2"/>
  <c r="AC56" i="2" s="1"/>
  <c r="V57" i="2"/>
  <c r="AC57" i="2" s="1"/>
  <c r="V58" i="2"/>
  <c r="AC58" i="2" s="1"/>
  <c r="V59" i="2"/>
  <c r="AC59" i="2" s="1"/>
  <c r="V60" i="2"/>
  <c r="AC60" i="2" s="1"/>
  <c r="V61" i="2"/>
  <c r="AC61" i="2" s="1"/>
  <c r="V62" i="2"/>
  <c r="AC62" i="2" s="1"/>
  <c r="V63" i="2"/>
  <c r="AC63" i="2" s="1"/>
  <c r="V64" i="2"/>
  <c r="AC64" i="2" s="1"/>
  <c r="V65" i="2"/>
  <c r="AC65" i="2" s="1"/>
  <c r="V66" i="2"/>
  <c r="AC66" i="2" s="1"/>
  <c r="V67" i="2"/>
  <c r="AC67" i="2" s="1"/>
  <c r="V68" i="2"/>
  <c r="AC68" i="2" s="1"/>
  <c r="V69" i="2"/>
  <c r="AC69" i="2" s="1"/>
  <c r="V70" i="2"/>
  <c r="AC70" i="2" s="1"/>
  <c r="V71" i="2"/>
  <c r="AC71" i="2" s="1"/>
  <c r="V72" i="2"/>
  <c r="AC72" i="2" s="1"/>
  <c r="V73" i="2"/>
  <c r="AC73" i="2" s="1"/>
  <c r="V74" i="2"/>
  <c r="AC74" i="2" s="1"/>
  <c r="V75" i="2"/>
  <c r="AC75" i="2" s="1"/>
  <c r="V76" i="2"/>
  <c r="AC76" i="2" s="1"/>
  <c r="V77" i="2"/>
  <c r="AC77" i="2" s="1"/>
  <c r="V78" i="2"/>
  <c r="AC78" i="2" s="1"/>
  <c r="V79" i="2"/>
  <c r="AC79" i="2" s="1"/>
  <c r="V80" i="2"/>
  <c r="AC80" i="2" s="1"/>
  <c r="V81" i="2"/>
  <c r="AC81" i="2" s="1"/>
  <c r="V82" i="2"/>
  <c r="AC82" i="2" s="1"/>
  <c r="V83" i="2"/>
  <c r="AC83" i="2" s="1"/>
  <c r="V84" i="2"/>
  <c r="AC84" i="2" s="1"/>
  <c r="V86" i="2"/>
  <c r="AC86" i="2" s="1"/>
  <c r="V87" i="2"/>
  <c r="AC87" i="2" s="1"/>
  <c r="V88" i="2"/>
  <c r="AC88" i="2" s="1"/>
  <c r="V89" i="2"/>
  <c r="AC89" i="2" s="1"/>
  <c r="V90" i="2"/>
  <c r="AC90" i="2" s="1"/>
  <c r="V91" i="2"/>
  <c r="AC91" i="2" s="1"/>
  <c r="V92" i="2"/>
  <c r="AC92" i="2" s="1"/>
  <c r="V93" i="2"/>
  <c r="AC93" i="2" s="1"/>
  <c r="V94" i="2"/>
  <c r="AC94" i="2" s="1"/>
  <c r="V95" i="2"/>
  <c r="AC95" i="2" s="1"/>
  <c r="V96" i="2"/>
  <c r="AC96" i="2" s="1"/>
  <c r="V97" i="2"/>
  <c r="AC97" i="2" s="1"/>
  <c r="V98" i="2"/>
  <c r="AC98" i="2" s="1"/>
  <c r="V99" i="2"/>
  <c r="AC99" i="2" s="1"/>
  <c r="V100" i="2"/>
  <c r="AC100" i="2" s="1"/>
  <c r="V101" i="2"/>
  <c r="AC101" i="2" s="1"/>
  <c r="V102" i="2"/>
  <c r="AC102" i="2" s="1"/>
  <c r="V103" i="2"/>
  <c r="AC103" i="2" s="1"/>
  <c r="V104" i="2"/>
  <c r="AC104" i="2" s="1"/>
  <c r="V105" i="2"/>
  <c r="AC105" i="2" s="1"/>
  <c r="V106" i="2"/>
  <c r="AC106" i="2" s="1"/>
  <c r="V107" i="2"/>
  <c r="AC107" i="2" s="1"/>
  <c r="V108" i="2"/>
  <c r="AC108" i="2" s="1"/>
  <c r="V109" i="2"/>
  <c r="AC109" i="2" s="1"/>
  <c r="U4" i="2"/>
  <c r="AB4" i="2" s="1"/>
  <c r="U5" i="2"/>
  <c r="AB5" i="2" s="1"/>
  <c r="U6" i="2"/>
  <c r="AB6" i="2" s="1"/>
  <c r="U7" i="2"/>
  <c r="AB7" i="2" s="1"/>
  <c r="U8" i="2"/>
  <c r="AB8" i="2" s="1"/>
  <c r="U9" i="2"/>
  <c r="AB9" i="2" s="1"/>
  <c r="U10" i="2"/>
  <c r="AB10" i="2" s="1"/>
  <c r="U11" i="2"/>
  <c r="AB11" i="2" s="1"/>
  <c r="U12" i="2"/>
  <c r="AB12" i="2" s="1"/>
  <c r="U13" i="2"/>
  <c r="AB13" i="2" s="1"/>
  <c r="U14" i="2"/>
  <c r="AB14" i="2" s="1"/>
  <c r="U15" i="2"/>
  <c r="AB15" i="2" s="1"/>
  <c r="U16" i="2"/>
  <c r="AB16" i="2" s="1"/>
  <c r="U17" i="2"/>
  <c r="AB17" i="2" s="1"/>
  <c r="U18" i="2"/>
  <c r="AB18" i="2" s="1"/>
  <c r="U19" i="2"/>
  <c r="AB19" i="2" s="1"/>
  <c r="U20" i="2"/>
  <c r="AB20" i="2" s="1"/>
  <c r="U21" i="2"/>
  <c r="AB21" i="2" s="1"/>
  <c r="U22" i="2"/>
  <c r="AB22" i="2" s="1"/>
  <c r="U23" i="2"/>
  <c r="AB23" i="2" s="1"/>
  <c r="U24" i="2"/>
  <c r="AB24" i="2" s="1"/>
  <c r="U25" i="2"/>
  <c r="AB25" i="2" s="1"/>
  <c r="U26" i="2"/>
  <c r="AB26" i="2" s="1"/>
  <c r="U27" i="2"/>
  <c r="AB27" i="2" s="1"/>
  <c r="U28" i="2"/>
  <c r="AB28" i="2" s="1"/>
  <c r="U29" i="2"/>
  <c r="AB29" i="2" s="1"/>
  <c r="U30" i="2"/>
  <c r="AB30" i="2" s="1"/>
  <c r="U31" i="2"/>
  <c r="AB31" i="2" s="1"/>
  <c r="U32" i="2"/>
  <c r="AB32" i="2" s="1"/>
  <c r="U33" i="2"/>
  <c r="AB33" i="2" s="1"/>
  <c r="U34" i="2"/>
  <c r="AB34" i="2" s="1"/>
  <c r="U35" i="2"/>
  <c r="AB35" i="2" s="1"/>
  <c r="U36" i="2"/>
  <c r="AB36" i="2" s="1"/>
  <c r="U37" i="2"/>
  <c r="AB37" i="2" s="1"/>
  <c r="U38" i="2"/>
  <c r="AB38" i="2" s="1"/>
  <c r="U39" i="2"/>
  <c r="AB39" i="2" s="1"/>
  <c r="U40" i="2"/>
  <c r="AB40" i="2" s="1"/>
  <c r="U41" i="2"/>
  <c r="AB41" i="2" s="1"/>
  <c r="U42" i="2"/>
  <c r="AB42" i="2" s="1"/>
  <c r="U43" i="2"/>
  <c r="AB43" i="2" s="1"/>
  <c r="U44" i="2"/>
  <c r="AB44" i="2" s="1"/>
  <c r="U45" i="2"/>
  <c r="AB45" i="2" s="1"/>
  <c r="U46" i="2"/>
  <c r="AB46" i="2" s="1"/>
  <c r="U47" i="2"/>
  <c r="AB47" i="2" s="1"/>
  <c r="U48" i="2"/>
  <c r="AB48" i="2" s="1"/>
  <c r="U49" i="2"/>
  <c r="AB49" i="2" s="1"/>
  <c r="U50" i="2"/>
  <c r="AB50" i="2" s="1"/>
  <c r="U51" i="2"/>
  <c r="AB51" i="2" s="1"/>
  <c r="U52" i="2"/>
  <c r="AB52" i="2" s="1"/>
  <c r="U53" i="2"/>
  <c r="AB53" i="2" s="1"/>
  <c r="U54" i="2"/>
  <c r="AB54" i="2" s="1"/>
  <c r="U55" i="2"/>
  <c r="AB55" i="2" s="1"/>
  <c r="U56" i="2"/>
  <c r="AB56" i="2" s="1"/>
  <c r="U57" i="2"/>
  <c r="AB57" i="2" s="1"/>
  <c r="U58" i="2"/>
  <c r="AB58" i="2" s="1"/>
  <c r="U59" i="2"/>
  <c r="AB59" i="2" s="1"/>
  <c r="U60" i="2"/>
  <c r="AB60" i="2" s="1"/>
  <c r="U61" i="2"/>
  <c r="AB61" i="2" s="1"/>
  <c r="U62" i="2"/>
  <c r="AB62" i="2" s="1"/>
  <c r="U63" i="2"/>
  <c r="AB63" i="2" s="1"/>
  <c r="U64" i="2"/>
  <c r="AB64" i="2" s="1"/>
  <c r="U65" i="2"/>
  <c r="AB65" i="2" s="1"/>
  <c r="U66" i="2"/>
  <c r="AB66" i="2" s="1"/>
  <c r="U67" i="2"/>
  <c r="AB67" i="2" s="1"/>
  <c r="U68" i="2"/>
  <c r="AB68" i="2" s="1"/>
  <c r="U69" i="2"/>
  <c r="AB69" i="2" s="1"/>
  <c r="U70" i="2"/>
  <c r="AB70" i="2" s="1"/>
  <c r="U71" i="2"/>
  <c r="AB71" i="2" s="1"/>
  <c r="U72" i="2"/>
  <c r="AB72" i="2" s="1"/>
  <c r="U73" i="2"/>
  <c r="AB73" i="2" s="1"/>
  <c r="U74" i="2"/>
  <c r="AB74" i="2" s="1"/>
  <c r="U75" i="2"/>
  <c r="AB75" i="2" s="1"/>
  <c r="U76" i="2"/>
  <c r="AB76" i="2" s="1"/>
  <c r="U77" i="2"/>
  <c r="AB77" i="2" s="1"/>
  <c r="U78" i="2"/>
  <c r="AB78" i="2" s="1"/>
  <c r="U79" i="2"/>
  <c r="AB79" i="2" s="1"/>
  <c r="U80" i="2"/>
  <c r="AB80" i="2" s="1"/>
  <c r="U81" i="2"/>
  <c r="AB81" i="2" s="1"/>
  <c r="U82" i="2"/>
  <c r="AB82" i="2" s="1"/>
  <c r="U83" i="2"/>
  <c r="AB83" i="2" s="1"/>
  <c r="U84" i="2"/>
  <c r="AB84" i="2" s="1"/>
  <c r="U85" i="2"/>
  <c r="U86" i="2"/>
  <c r="AB86" i="2" s="1"/>
  <c r="U87" i="2"/>
  <c r="AB87" i="2" s="1"/>
  <c r="U88" i="2"/>
  <c r="AB88" i="2" s="1"/>
  <c r="U89" i="2"/>
  <c r="AB89" i="2" s="1"/>
  <c r="U90" i="2"/>
  <c r="AB90" i="2" s="1"/>
  <c r="U91" i="2"/>
  <c r="AB91" i="2" s="1"/>
  <c r="U92" i="2"/>
  <c r="AB92" i="2" s="1"/>
  <c r="U93" i="2"/>
  <c r="AB93" i="2" s="1"/>
  <c r="U94" i="2"/>
  <c r="AB94" i="2" s="1"/>
  <c r="U95" i="2"/>
  <c r="AB95" i="2" s="1"/>
  <c r="U96" i="2"/>
  <c r="AB96" i="2" s="1"/>
  <c r="U97" i="2"/>
  <c r="AB97" i="2" s="1"/>
  <c r="U98" i="2"/>
  <c r="AB98" i="2" s="1"/>
  <c r="U99" i="2"/>
  <c r="AB99" i="2" s="1"/>
  <c r="U100" i="2"/>
  <c r="AB100" i="2" s="1"/>
  <c r="U101" i="2"/>
  <c r="AB101" i="2" s="1"/>
  <c r="U102" i="2"/>
  <c r="AB102" i="2" s="1"/>
  <c r="U103" i="2"/>
  <c r="AB103" i="2" s="1"/>
  <c r="U104" i="2"/>
  <c r="AB104" i="2" s="1"/>
  <c r="U105" i="2"/>
  <c r="AB105" i="2" s="1"/>
  <c r="U106" i="2"/>
  <c r="AB106" i="2" s="1"/>
  <c r="U107" i="2"/>
  <c r="AB107" i="2" s="1"/>
  <c r="U108" i="2"/>
  <c r="AB108" i="2" s="1"/>
  <c r="U109" i="2"/>
  <c r="AB109" i="2" s="1"/>
  <c r="T4" i="2"/>
  <c r="AA4" i="2" s="1"/>
  <c r="S4" i="2"/>
  <c r="Z4" i="2" s="1"/>
  <c r="R4" i="2"/>
  <c r="X4" i="2" s="1"/>
  <c r="Y4" i="2" s="1"/>
  <c r="R5" i="2"/>
  <c r="X5" i="2" s="1"/>
  <c r="Y5" i="2" s="1"/>
  <c r="R6" i="2"/>
  <c r="X6" i="2" s="1"/>
  <c r="Y6" i="2" s="1"/>
  <c r="R7" i="2"/>
  <c r="X7" i="2" s="1"/>
  <c r="Y7" i="2" s="1"/>
  <c r="R8" i="2"/>
  <c r="X8" i="2" s="1"/>
  <c r="Y8" i="2" s="1"/>
  <c r="R9" i="2"/>
  <c r="X9" i="2" s="1"/>
  <c r="Y9" i="2" s="1"/>
  <c r="R10" i="2"/>
  <c r="X10" i="2" s="1"/>
  <c r="Y10" i="2" s="1"/>
  <c r="R11" i="2"/>
  <c r="X11" i="2" s="1"/>
  <c r="Y11" i="2" s="1"/>
  <c r="R12" i="2"/>
  <c r="X12" i="2" s="1"/>
  <c r="Y12" i="2" s="1"/>
  <c r="R13" i="2"/>
  <c r="X13" i="2" s="1"/>
  <c r="Y13" i="2" s="1"/>
  <c r="R14" i="2"/>
  <c r="X14" i="2" s="1"/>
  <c r="Y14" i="2" s="1"/>
  <c r="R15" i="2"/>
  <c r="X15" i="2" s="1"/>
  <c r="Y15" i="2" s="1"/>
  <c r="R16" i="2"/>
  <c r="X16" i="2" s="1"/>
  <c r="Y16" i="2" s="1"/>
  <c r="R17" i="2"/>
  <c r="X17" i="2" s="1"/>
  <c r="Y17" i="2" s="1"/>
  <c r="R18" i="2"/>
  <c r="X18" i="2" s="1"/>
  <c r="Y18" i="2" s="1"/>
  <c r="R19" i="2"/>
  <c r="X19" i="2" s="1"/>
  <c r="Y19" i="2" s="1"/>
  <c r="R20" i="2"/>
  <c r="X20" i="2" s="1"/>
  <c r="Y20" i="2" s="1"/>
  <c r="R21" i="2"/>
  <c r="X21" i="2" s="1"/>
  <c r="Y21" i="2" s="1"/>
  <c r="R22" i="2"/>
  <c r="X22" i="2" s="1"/>
  <c r="Y22" i="2" s="1"/>
  <c r="R23" i="2"/>
  <c r="X23" i="2" s="1"/>
  <c r="Y23" i="2" s="1"/>
  <c r="R24" i="2"/>
  <c r="X24" i="2" s="1"/>
  <c r="Y24" i="2" s="1"/>
  <c r="R25" i="2"/>
  <c r="X25" i="2" s="1"/>
  <c r="Y25" i="2" s="1"/>
  <c r="R26" i="2"/>
  <c r="X26" i="2" s="1"/>
  <c r="Y26" i="2" s="1"/>
  <c r="R27" i="2"/>
  <c r="X27" i="2" s="1"/>
  <c r="Y27" i="2" s="1"/>
  <c r="R28" i="2"/>
  <c r="X28" i="2" s="1"/>
  <c r="Y28" i="2" s="1"/>
  <c r="R29" i="2"/>
  <c r="X29" i="2" s="1"/>
  <c r="Y29" i="2" s="1"/>
  <c r="R30" i="2"/>
  <c r="X30" i="2" s="1"/>
  <c r="Y30" i="2" s="1"/>
  <c r="R31" i="2"/>
  <c r="X31" i="2" s="1"/>
  <c r="Y31" i="2" s="1"/>
  <c r="R32" i="2"/>
  <c r="X32" i="2" s="1"/>
  <c r="Y32" i="2" s="1"/>
  <c r="R33" i="2"/>
  <c r="X33" i="2" s="1"/>
  <c r="Y33" i="2" s="1"/>
  <c r="R34" i="2"/>
  <c r="X34" i="2" s="1"/>
  <c r="Y34" i="2" s="1"/>
  <c r="R35" i="2"/>
  <c r="X35" i="2" s="1"/>
  <c r="Y35" i="2" s="1"/>
  <c r="R36" i="2"/>
  <c r="X36" i="2" s="1"/>
  <c r="Y36" i="2" s="1"/>
  <c r="R37" i="2"/>
  <c r="X37" i="2" s="1"/>
  <c r="Y37" i="2" s="1"/>
  <c r="R38" i="2"/>
  <c r="X38" i="2" s="1"/>
  <c r="Y38" i="2" s="1"/>
  <c r="R39" i="2"/>
  <c r="X39" i="2" s="1"/>
  <c r="Y39" i="2" s="1"/>
  <c r="R40" i="2"/>
  <c r="X40" i="2" s="1"/>
  <c r="Y40" i="2" s="1"/>
  <c r="R41" i="2"/>
  <c r="X41" i="2" s="1"/>
  <c r="Y41" i="2" s="1"/>
  <c r="R42" i="2"/>
  <c r="X42" i="2" s="1"/>
  <c r="Y42" i="2" s="1"/>
  <c r="R43" i="2"/>
  <c r="X43" i="2" s="1"/>
  <c r="Y43" i="2" s="1"/>
  <c r="R44" i="2"/>
  <c r="X44" i="2" s="1"/>
  <c r="Y44" i="2" s="1"/>
  <c r="R45" i="2"/>
  <c r="X45" i="2" s="1"/>
  <c r="Y45" i="2" s="1"/>
  <c r="R46" i="2"/>
  <c r="X46" i="2" s="1"/>
  <c r="Y46" i="2" s="1"/>
  <c r="R47" i="2"/>
  <c r="X47" i="2" s="1"/>
  <c r="Y47" i="2" s="1"/>
  <c r="R48" i="2"/>
  <c r="X48" i="2" s="1"/>
  <c r="Y48" i="2" s="1"/>
  <c r="R49" i="2"/>
  <c r="X49" i="2" s="1"/>
  <c r="Y49" i="2" s="1"/>
  <c r="R50" i="2"/>
  <c r="X50" i="2" s="1"/>
  <c r="Y50" i="2" s="1"/>
  <c r="R51" i="2"/>
  <c r="X51" i="2" s="1"/>
  <c r="Y51" i="2" s="1"/>
  <c r="R52" i="2"/>
  <c r="X52" i="2" s="1"/>
  <c r="Y52" i="2" s="1"/>
  <c r="R53" i="2"/>
  <c r="X53" i="2" s="1"/>
  <c r="Y53" i="2" s="1"/>
  <c r="R54" i="2"/>
  <c r="X54" i="2" s="1"/>
  <c r="Y54" i="2" s="1"/>
  <c r="R55" i="2"/>
  <c r="X55" i="2" s="1"/>
  <c r="Y55" i="2" s="1"/>
  <c r="R56" i="2"/>
  <c r="X56" i="2" s="1"/>
  <c r="Y56" i="2" s="1"/>
  <c r="R57" i="2"/>
  <c r="X57" i="2" s="1"/>
  <c r="Y57" i="2" s="1"/>
  <c r="R58" i="2"/>
  <c r="X58" i="2" s="1"/>
  <c r="Y58" i="2" s="1"/>
  <c r="R59" i="2"/>
  <c r="X59" i="2" s="1"/>
  <c r="Y59" i="2" s="1"/>
  <c r="R60" i="2"/>
  <c r="X60" i="2" s="1"/>
  <c r="Y60" i="2" s="1"/>
  <c r="R61" i="2"/>
  <c r="X61" i="2" s="1"/>
  <c r="Y61" i="2" s="1"/>
  <c r="R62" i="2"/>
  <c r="X62" i="2" s="1"/>
  <c r="Y62" i="2" s="1"/>
  <c r="R63" i="2"/>
  <c r="X63" i="2" s="1"/>
  <c r="Y63" i="2" s="1"/>
  <c r="R64" i="2"/>
  <c r="X64" i="2" s="1"/>
  <c r="Y64" i="2" s="1"/>
  <c r="R65" i="2"/>
  <c r="X65" i="2" s="1"/>
  <c r="Y65" i="2" s="1"/>
  <c r="R66" i="2"/>
  <c r="X66" i="2" s="1"/>
  <c r="Y66" i="2" s="1"/>
  <c r="R67" i="2"/>
  <c r="X67" i="2" s="1"/>
  <c r="Y67" i="2" s="1"/>
  <c r="R68" i="2"/>
  <c r="X68" i="2" s="1"/>
  <c r="Y68" i="2" s="1"/>
  <c r="R69" i="2"/>
  <c r="X69" i="2" s="1"/>
  <c r="Y69" i="2" s="1"/>
  <c r="R70" i="2"/>
  <c r="X70" i="2" s="1"/>
  <c r="Y70" i="2" s="1"/>
  <c r="R71" i="2"/>
  <c r="X71" i="2" s="1"/>
  <c r="Y71" i="2" s="1"/>
  <c r="R72" i="2"/>
  <c r="X72" i="2" s="1"/>
  <c r="Y72" i="2" s="1"/>
  <c r="R73" i="2"/>
  <c r="X73" i="2" s="1"/>
  <c r="Y73" i="2" s="1"/>
  <c r="R74" i="2"/>
  <c r="X74" i="2" s="1"/>
  <c r="Y74" i="2" s="1"/>
  <c r="R75" i="2"/>
  <c r="X75" i="2" s="1"/>
  <c r="Y75" i="2" s="1"/>
  <c r="R76" i="2"/>
  <c r="X76" i="2" s="1"/>
  <c r="Y76" i="2" s="1"/>
  <c r="R77" i="2"/>
  <c r="X77" i="2" s="1"/>
  <c r="Y77" i="2" s="1"/>
  <c r="R78" i="2"/>
  <c r="X78" i="2" s="1"/>
  <c r="Y78" i="2" s="1"/>
  <c r="R79" i="2"/>
  <c r="X79" i="2" s="1"/>
  <c r="Y79" i="2" s="1"/>
  <c r="R80" i="2"/>
  <c r="X80" i="2" s="1"/>
  <c r="Y80" i="2" s="1"/>
  <c r="R81" i="2"/>
  <c r="X81" i="2" s="1"/>
  <c r="Y81" i="2" s="1"/>
  <c r="R82" i="2"/>
  <c r="X82" i="2" s="1"/>
  <c r="Y82" i="2" s="1"/>
  <c r="R83" i="2"/>
  <c r="X83" i="2" s="1"/>
  <c r="Y83" i="2" s="1"/>
  <c r="R84" i="2"/>
  <c r="X84" i="2" s="1"/>
  <c r="Y84" i="2" s="1"/>
  <c r="R85" i="2"/>
  <c r="R86" i="2"/>
  <c r="X86" i="2" s="1"/>
  <c r="Y86" i="2" s="1"/>
  <c r="R87" i="2"/>
  <c r="X87" i="2" s="1"/>
  <c r="Y87" i="2" s="1"/>
  <c r="R88" i="2"/>
  <c r="X88" i="2" s="1"/>
  <c r="Y88" i="2" s="1"/>
  <c r="R89" i="2"/>
  <c r="X89" i="2" s="1"/>
  <c r="Y89" i="2" s="1"/>
  <c r="R90" i="2"/>
  <c r="X90" i="2" s="1"/>
  <c r="Y90" i="2" s="1"/>
  <c r="R91" i="2"/>
  <c r="X91" i="2" s="1"/>
  <c r="Y91" i="2" s="1"/>
  <c r="R92" i="2"/>
  <c r="X92" i="2" s="1"/>
  <c r="Y92" i="2" s="1"/>
  <c r="R93" i="2"/>
  <c r="X93" i="2" s="1"/>
  <c r="Y93" i="2" s="1"/>
  <c r="R94" i="2"/>
  <c r="X94" i="2" s="1"/>
  <c r="Y94" i="2" s="1"/>
  <c r="R95" i="2"/>
  <c r="X95" i="2" s="1"/>
  <c r="Y95" i="2" s="1"/>
  <c r="R96" i="2"/>
  <c r="X96" i="2" s="1"/>
  <c r="Y96" i="2" s="1"/>
  <c r="R97" i="2"/>
  <c r="X97" i="2" s="1"/>
  <c r="Y97" i="2" s="1"/>
  <c r="R98" i="2"/>
  <c r="X98" i="2" s="1"/>
  <c r="Y98" i="2" s="1"/>
  <c r="R99" i="2"/>
  <c r="X99" i="2" s="1"/>
  <c r="Y99" i="2" s="1"/>
  <c r="R100" i="2"/>
  <c r="X100" i="2" s="1"/>
  <c r="Y100" i="2" s="1"/>
  <c r="R101" i="2"/>
  <c r="X101" i="2" s="1"/>
  <c r="Y101" i="2" s="1"/>
  <c r="R102" i="2"/>
  <c r="X102" i="2" s="1"/>
  <c r="Y102" i="2" s="1"/>
  <c r="R103" i="2"/>
  <c r="X103" i="2" s="1"/>
  <c r="Y103" i="2" s="1"/>
  <c r="R104" i="2"/>
  <c r="X104" i="2" s="1"/>
  <c r="Y104" i="2" s="1"/>
  <c r="R105" i="2"/>
  <c r="X105" i="2" s="1"/>
  <c r="Y105" i="2" s="1"/>
  <c r="R106" i="2"/>
  <c r="X106" i="2" s="1"/>
  <c r="Y106" i="2" s="1"/>
  <c r="R107" i="2"/>
  <c r="X107" i="2" s="1"/>
  <c r="Y107" i="2" s="1"/>
  <c r="R108" i="2"/>
  <c r="X108" i="2" s="1"/>
  <c r="Y108" i="2" s="1"/>
  <c r="R109" i="2"/>
  <c r="X109" i="2" s="1"/>
  <c r="Y109" i="2" s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BB5" i="1" l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4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4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K5" i="1"/>
  <c r="AL5" i="1"/>
  <c r="AM5" i="1"/>
  <c r="AN5" i="1"/>
  <c r="AO5" i="1"/>
  <c r="AP5" i="1"/>
  <c r="AQ5" i="1"/>
  <c r="AK6" i="1"/>
  <c r="AL6" i="1"/>
  <c r="AM6" i="1"/>
  <c r="AN6" i="1"/>
  <c r="AO6" i="1"/>
  <c r="AP6" i="1"/>
  <c r="AQ6" i="1"/>
  <c r="AK7" i="1"/>
  <c r="AL7" i="1"/>
  <c r="AM7" i="1"/>
  <c r="AN7" i="1"/>
  <c r="AO7" i="1"/>
  <c r="AP7" i="1"/>
  <c r="AQ7" i="1"/>
  <c r="AK8" i="1"/>
  <c r="AL8" i="1"/>
  <c r="AM8" i="1"/>
  <c r="AN8" i="1"/>
  <c r="AO8" i="1"/>
  <c r="AP8" i="1"/>
  <c r="AQ8" i="1"/>
  <c r="AK9" i="1"/>
  <c r="AL9" i="1"/>
  <c r="AM9" i="1"/>
  <c r="AN9" i="1"/>
  <c r="AO9" i="1"/>
  <c r="AP9" i="1"/>
  <c r="AQ9" i="1"/>
  <c r="AK10" i="1"/>
  <c r="AL10" i="1"/>
  <c r="AM10" i="1"/>
  <c r="AN10" i="1"/>
  <c r="AO10" i="1"/>
  <c r="AP10" i="1"/>
  <c r="AQ10" i="1"/>
  <c r="AK11" i="1"/>
  <c r="AL11" i="1"/>
  <c r="AM11" i="1"/>
  <c r="AN11" i="1"/>
  <c r="AO11" i="1"/>
  <c r="AP11" i="1"/>
  <c r="AQ11" i="1"/>
  <c r="AK12" i="1"/>
  <c r="AL12" i="1"/>
  <c r="AM12" i="1"/>
  <c r="AN12" i="1"/>
  <c r="AO12" i="1"/>
  <c r="AP12" i="1"/>
  <c r="AQ12" i="1"/>
  <c r="AK13" i="1"/>
  <c r="AL13" i="1"/>
  <c r="AM13" i="1"/>
  <c r="AN13" i="1"/>
  <c r="AO13" i="1"/>
  <c r="AP13" i="1"/>
  <c r="AQ13" i="1"/>
  <c r="AK14" i="1"/>
  <c r="AL14" i="1"/>
  <c r="AM14" i="1"/>
  <c r="AN14" i="1"/>
  <c r="AO14" i="1"/>
  <c r="AP14" i="1"/>
  <c r="AQ14" i="1"/>
  <c r="AK15" i="1"/>
  <c r="AL15" i="1"/>
  <c r="AM15" i="1"/>
  <c r="AN15" i="1"/>
  <c r="AO15" i="1"/>
  <c r="AP15" i="1"/>
  <c r="AQ15" i="1"/>
  <c r="AK16" i="1"/>
  <c r="AL16" i="1"/>
  <c r="AM16" i="1"/>
  <c r="AN16" i="1"/>
  <c r="AO16" i="1"/>
  <c r="AP16" i="1"/>
  <c r="AQ16" i="1"/>
  <c r="AK17" i="1"/>
  <c r="AL17" i="1"/>
  <c r="AM17" i="1"/>
  <c r="AN17" i="1"/>
  <c r="AO17" i="1"/>
  <c r="AP17" i="1"/>
  <c r="AQ17" i="1"/>
  <c r="AK18" i="1"/>
  <c r="AL18" i="1"/>
  <c r="AM18" i="1"/>
  <c r="AN18" i="1"/>
  <c r="AO18" i="1"/>
  <c r="AP18" i="1"/>
  <c r="AQ18" i="1"/>
  <c r="AK19" i="1"/>
  <c r="AL19" i="1"/>
  <c r="AM19" i="1"/>
  <c r="AN19" i="1"/>
  <c r="AO19" i="1"/>
  <c r="AP19" i="1"/>
  <c r="AQ19" i="1"/>
  <c r="AK20" i="1"/>
  <c r="AL20" i="1"/>
  <c r="AM20" i="1"/>
  <c r="AN20" i="1"/>
  <c r="AO20" i="1"/>
  <c r="AP20" i="1"/>
  <c r="AQ20" i="1"/>
  <c r="AK21" i="1"/>
  <c r="AL21" i="1"/>
  <c r="AM21" i="1"/>
  <c r="AN21" i="1"/>
  <c r="AO21" i="1"/>
  <c r="AP21" i="1"/>
  <c r="AQ21" i="1"/>
  <c r="AK22" i="1"/>
  <c r="AL22" i="1"/>
  <c r="AM22" i="1"/>
  <c r="AN22" i="1"/>
  <c r="AO22" i="1"/>
  <c r="AP22" i="1"/>
  <c r="AQ22" i="1"/>
  <c r="AK23" i="1"/>
  <c r="AL23" i="1"/>
  <c r="AM23" i="1"/>
  <c r="AN23" i="1"/>
  <c r="AO23" i="1"/>
  <c r="AP23" i="1"/>
  <c r="AQ23" i="1"/>
  <c r="AK24" i="1"/>
  <c r="AL24" i="1"/>
  <c r="AM24" i="1"/>
  <c r="AN24" i="1"/>
  <c r="AO24" i="1"/>
  <c r="AP24" i="1"/>
  <c r="AQ24" i="1"/>
  <c r="AK25" i="1"/>
  <c r="AL25" i="1"/>
  <c r="AM25" i="1"/>
  <c r="AN25" i="1"/>
  <c r="AO25" i="1"/>
  <c r="AP25" i="1"/>
  <c r="AQ25" i="1"/>
  <c r="AK26" i="1"/>
  <c r="AL26" i="1"/>
  <c r="AM26" i="1"/>
  <c r="AN26" i="1"/>
  <c r="AO26" i="1"/>
  <c r="AP26" i="1"/>
  <c r="AQ26" i="1"/>
  <c r="AK27" i="1"/>
  <c r="AL27" i="1"/>
  <c r="AM27" i="1"/>
  <c r="AN27" i="1"/>
  <c r="AO27" i="1"/>
  <c r="AP27" i="1"/>
  <c r="AQ27" i="1"/>
  <c r="AK28" i="1"/>
  <c r="AL28" i="1"/>
  <c r="AM28" i="1"/>
  <c r="AN28" i="1"/>
  <c r="AO28" i="1"/>
  <c r="AP28" i="1"/>
  <c r="AQ28" i="1"/>
  <c r="AK29" i="1"/>
  <c r="AL29" i="1"/>
  <c r="AM29" i="1"/>
  <c r="AN29" i="1"/>
  <c r="AO29" i="1"/>
  <c r="AP29" i="1"/>
  <c r="AQ29" i="1"/>
  <c r="AK30" i="1"/>
  <c r="AL30" i="1"/>
  <c r="AM30" i="1"/>
  <c r="AN30" i="1"/>
  <c r="AO30" i="1"/>
  <c r="AP30" i="1"/>
  <c r="AQ30" i="1"/>
  <c r="AK31" i="1"/>
  <c r="AL31" i="1"/>
  <c r="AM31" i="1"/>
  <c r="AN31" i="1"/>
  <c r="AO31" i="1"/>
  <c r="AP31" i="1"/>
  <c r="AQ31" i="1"/>
  <c r="AK32" i="1"/>
  <c r="AL32" i="1"/>
  <c r="AM32" i="1"/>
  <c r="AN32" i="1"/>
  <c r="AO32" i="1"/>
  <c r="AP32" i="1"/>
  <c r="AQ32" i="1"/>
  <c r="AK33" i="1"/>
  <c r="AL33" i="1"/>
  <c r="AM33" i="1"/>
  <c r="AN33" i="1"/>
  <c r="AO33" i="1"/>
  <c r="AP33" i="1"/>
  <c r="AQ33" i="1"/>
  <c r="AK34" i="1"/>
  <c r="AL34" i="1"/>
  <c r="AM34" i="1"/>
  <c r="AN34" i="1"/>
  <c r="AO34" i="1"/>
  <c r="AP34" i="1"/>
  <c r="AQ34" i="1"/>
  <c r="AK35" i="1"/>
  <c r="AL35" i="1"/>
  <c r="AM35" i="1"/>
  <c r="AN35" i="1"/>
  <c r="AO35" i="1"/>
  <c r="AP35" i="1"/>
  <c r="AQ35" i="1"/>
  <c r="AK36" i="1"/>
  <c r="AL36" i="1"/>
  <c r="AM36" i="1"/>
  <c r="AN36" i="1"/>
  <c r="AO36" i="1"/>
  <c r="AP36" i="1"/>
  <c r="AQ36" i="1"/>
  <c r="AK37" i="1"/>
  <c r="AL37" i="1"/>
  <c r="AM37" i="1"/>
  <c r="AN37" i="1"/>
  <c r="AO37" i="1"/>
  <c r="AP37" i="1"/>
  <c r="AQ37" i="1"/>
  <c r="AK38" i="1"/>
  <c r="AL38" i="1"/>
  <c r="AM38" i="1"/>
  <c r="AN38" i="1"/>
  <c r="AO38" i="1"/>
  <c r="AP38" i="1"/>
  <c r="AQ38" i="1"/>
  <c r="AK39" i="1"/>
  <c r="AL39" i="1"/>
  <c r="AM39" i="1"/>
  <c r="AN39" i="1"/>
  <c r="AO39" i="1"/>
  <c r="AP39" i="1"/>
  <c r="AQ39" i="1"/>
  <c r="AK40" i="1"/>
  <c r="AL40" i="1"/>
  <c r="AM40" i="1"/>
  <c r="AN40" i="1"/>
  <c r="AO40" i="1"/>
  <c r="AP40" i="1"/>
  <c r="AQ40" i="1"/>
  <c r="AK41" i="1"/>
  <c r="AL41" i="1"/>
  <c r="AM41" i="1"/>
  <c r="AN41" i="1"/>
  <c r="AO41" i="1"/>
  <c r="AP41" i="1"/>
  <c r="AQ41" i="1"/>
  <c r="AK42" i="1"/>
  <c r="AL42" i="1"/>
  <c r="AM42" i="1"/>
  <c r="AN42" i="1"/>
  <c r="AO42" i="1"/>
  <c r="AP42" i="1"/>
  <c r="AQ42" i="1"/>
  <c r="AK43" i="1"/>
  <c r="AL43" i="1"/>
  <c r="AM43" i="1"/>
  <c r="AN43" i="1"/>
  <c r="AO43" i="1"/>
  <c r="AP43" i="1"/>
  <c r="AQ43" i="1"/>
  <c r="AK44" i="1"/>
  <c r="AL44" i="1"/>
  <c r="AM44" i="1"/>
  <c r="AN44" i="1"/>
  <c r="AO44" i="1"/>
  <c r="AP44" i="1"/>
  <c r="AQ44" i="1"/>
  <c r="AK45" i="1"/>
  <c r="AL45" i="1"/>
  <c r="AM45" i="1"/>
  <c r="AN45" i="1"/>
  <c r="AO45" i="1"/>
  <c r="AP45" i="1"/>
  <c r="AQ45" i="1"/>
  <c r="AK46" i="1"/>
  <c r="AL46" i="1"/>
  <c r="AM46" i="1"/>
  <c r="AN46" i="1"/>
  <c r="AO46" i="1"/>
  <c r="AP46" i="1"/>
  <c r="AQ46" i="1"/>
  <c r="AK47" i="1"/>
  <c r="AL47" i="1"/>
  <c r="AM47" i="1"/>
  <c r="AN47" i="1"/>
  <c r="AO47" i="1"/>
  <c r="AP47" i="1"/>
  <c r="AQ47" i="1"/>
  <c r="AK48" i="1"/>
  <c r="AL48" i="1"/>
  <c r="AM48" i="1"/>
  <c r="AN48" i="1"/>
  <c r="AO48" i="1"/>
  <c r="AP48" i="1"/>
  <c r="AQ48" i="1"/>
  <c r="AK49" i="1"/>
  <c r="AL49" i="1"/>
  <c r="AM49" i="1"/>
  <c r="AN49" i="1"/>
  <c r="AO49" i="1"/>
  <c r="AP49" i="1"/>
  <c r="AQ49" i="1"/>
  <c r="AK50" i="1"/>
  <c r="AL50" i="1"/>
  <c r="AM50" i="1"/>
  <c r="AN50" i="1"/>
  <c r="AO50" i="1"/>
  <c r="AP50" i="1"/>
  <c r="AQ50" i="1"/>
  <c r="AK51" i="1"/>
  <c r="AL51" i="1"/>
  <c r="AM51" i="1"/>
  <c r="AN51" i="1"/>
  <c r="AO51" i="1"/>
  <c r="AP51" i="1"/>
  <c r="AQ51" i="1"/>
  <c r="AK52" i="1"/>
  <c r="AL52" i="1"/>
  <c r="AM52" i="1"/>
  <c r="AN52" i="1"/>
  <c r="AO52" i="1"/>
  <c r="AP52" i="1"/>
  <c r="AQ52" i="1"/>
  <c r="AK53" i="1"/>
  <c r="AL53" i="1"/>
  <c r="AM53" i="1"/>
  <c r="AN53" i="1"/>
  <c r="AO53" i="1"/>
  <c r="AP53" i="1"/>
  <c r="AQ53" i="1"/>
  <c r="AK54" i="1"/>
  <c r="AL54" i="1"/>
  <c r="AM54" i="1"/>
  <c r="AN54" i="1"/>
  <c r="AO54" i="1"/>
  <c r="AP54" i="1"/>
  <c r="AQ54" i="1"/>
  <c r="AK55" i="1"/>
  <c r="AL55" i="1"/>
  <c r="AM55" i="1"/>
  <c r="AN55" i="1"/>
  <c r="AO55" i="1"/>
  <c r="AP55" i="1"/>
  <c r="AQ55" i="1"/>
  <c r="AK56" i="1"/>
  <c r="AL56" i="1"/>
  <c r="AM56" i="1"/>
  <c r="AN56" i="1"/>
  <c r="AO56" i="1"/>
  <c r="AP56" i="1"/>
  <c r="AQ56" i="1"/>
  <c r="AK57" i="1"/>
  <c r="AL57" i="1"/>
  <c r="AM57" i="1"/>
  <c r="AN57" i="1"/>
  <c r="AO57" i="1"/>
  <c r="AP57" i="1"/>
  <c r="AQ57" i="1"/>
  <c r="AK58" i="1"/>
  <c r="AL58" i="1"/>
  <c r="AM58" i="1"/>
  <c r="AN58" i="1"/>
  <c r="AO58" i="1"/>
  <c r="AP58" i="1"/>
  <c r="AQ58" i="1"/>
  <c r="AK59" i="1"/>
  <c r="AL59" i="1"/>
  <c r="AM59" i="1"/>
  <c r="AN59" i="1"/>
  <c r="AO59" i="1"/>
  <c r="AP59" i="1"/>
  <c r="AQ59" i="1"/>
  <c r="AK60" i="1"/>
  <c r="AL60" i="1"/>
  <c r="AM60" i="1"/>
  <c r="AN60" i="1"/>
  <c r="AO60" i="1"/>
  <c r="AP60" i="1"/>
  <c r="AQ60" i="1"/>
  <c r="AK61" i="1"/>
  <c r="AL61" i="1"/>
  <c r="AM61" i="1"/>
  <c r="AN61" i="1"/>
  <c r="AO61" i="1"/>
  <c r="AP61" i="1"/>
  <c r="AQ61" i="1"/>
  <c r="AK62" i="1"/>
  <c r="AL62" i="1"/>
  <c r="AM62" i="1"/>
  <c r="AN62" i="1"/>
  <c r="AO62" i="1"/>
  <c r="AP62" i="1"/>
  <c r="AQ62" i="1"/>
  <c r="AK63" i="1"/>
  <c r="AL63" i="1"/>
  <c r="AM63" i="1"/>
  <c r="AN63" i="1"/>
  <c r="AO63" i="1"/>
  <c r="AP63" i="1"/>
  <c r="AQ63" i="1"/>
  <c r="AK64" i="1"/>
  <c r="AL64" i="1"/>
  <c r="AM64" i="1"/>
  <c r="AN64" i="1"/>
  <c r="AO64" i="1"/>
  <c r="AP64" i="1"/>
  <c r="AQ64" i="1"/>
  <c r="AK65" i="1"/>
  <c r="AL65" i="1"/>
  <c r="AM65" i="1"/>
  <c r="AN65" i="1"/>
  <c r="AO65" i="1"/>
  <c r="AP65" i="1"/>
  <c r="AQ65" i="1"/>
  <c r="AK66" i="1"/>
  <c r="AL66" i="1"/>
  <c r="AM66" i="1"/>
  <c r="AN66" i="1"/>
  <c r="AO66" i="1"/>
  <c r="AP66" i="1"/>
  <c r="AQ66" i="1"/>
  <c r="AK67" i="1"/>
  <c r="AL67" i="1"/>
  <c r="AM67" i="1"/>
  <c r="AN67" i="1"/>
  <c r="AO67" i="1"/>
  <c r="AP67" i="1"/>
  <c r="AQ67" i="1"/>
  <c r="AK68" i="1"/>
  <c r="AL68" i="1"/>
  <c r="AM68" i="1"/>
  <c r="AN68" i="1"/>
  <c r="AO68" i="1"/>
  <c r="AP68" i="1"/>
  <c r="AQ68" i="1"/>
  <c r="AK69" i="1"/>
  <c r="AL69" i="1"/>
  <c r="AM69" i="1"/>
  <c r="AN69" i="1"/>
  <c r="AO69" i="1"/>
  <c r="AP69" i="1"/>
  <c r="AQ69" i="1"/>
  <c r="AK70" i="1"/>
  <c r="AL70" i="1"/>
  <c r="AM70" i="1"/>
  <c r="AN70" i="1"/>
  <c r="AO70" i="1"/>
  <c r="AP70" i="1"/>
  <c r="AQ70" i="1"/>
  <c r="AK71" i="1"/>
  <c r="AL71" i="1"/>
  <c r="AM71" i="1"/>
  <c r="AN71" i="1"/>
  <c r="AO71" i="1"/>
  <c r="AP71" i="1"/>
  <c r="AQ71" i="1"/>
  <c r="AK72" i="1"/>
  <c r="AL72" i="1"/>
  <c r="AM72" i="1"/>
  <c r="AN72" i="1"/>
  <c r="AO72" i="1"/>
  <c r="AP72" i="1"/>
  <c r="AQ72" i="1"/>
  <c r="AK73" i="1"/>
  <c r="AL73" i="1"/>
  <c r="AM73" i="1"/>
  <c r="AN73" i="1"/>
  <c r="AO73" i="1"/>
  <c r="AP73" i="1"/>
  <c r="AQ73" i="1"/>
  <c r="AK74" i="1"/>
  <c r="AL74" i="1"/>
  <c r="AM74" i="1"/>
  <c r="AN74" i="1"/>
  <c r="AO74" i="1"/>
  <c r="AP74" i="1"/>
  <c r="AQ74" i="1"/>
  <c r="AK75" i="1"/>
  <c r="AL75" i="1"/>
  <c r="AM75" i="1"/>
  <c r="AN75" i="1"/>
  <c r="AO75" i="1"/>
  <c r="AP75" i="1"/>
  <c r="AQ75" i="1"/>
  <c r="AK76" i="1"/>
  <c r="AL76" i="1"/>
  <c r="AM76" i="1"/>
  <c r="AN76" i="1"/>
  <c r="AO76" i="1"/>
  <c r="AP76" i="1"/>
  <c r="AQ76" i="1"/>
  <c r="AK77" i="1"/>
  <c r="AL77" i="1"/>
  <c r="AM77" i="1"/>
  <c r="AN77" i="1"/>
  <c r="AO77" i="1"/>
  <c r="AP77" i="1"/>
  <c r="AQ77" i="1"/>
  <c r="AK78" i="1"/>
  <c r="AL78" i="1"/>
  <c r="AM78" i="1"/>
  <c r="AN78" i="1"/>
  <c r="AO78" i="1"/>
  <c r="AP78" i="1"/>
  <c r="AQ78" i="1"/>
  <c r="AK79" i="1"/>
  <c r="AL79" i="1"/>
  <c r="AM79" i="1"/>
  <c r="AN79" i="1"/>
  <c r="AO79" i="1"/>
  <c r="AP79" i="1"/>
  <c r="AQ79" i="1"/>
  <c r="AK80" i="1"/>
  <c r="AL80" i="1"/>
  <c r="AM80" i="1"/>
  <c r="AN80" i="1"/>
  <c r="AO80" i="1"/>
  <c r="AP80" i="1"/>
  <c r="AQ80" i="1"/>
  <c r="AK81" i="1"/>
  <c r="AL81" i="1"/>
  <c r="AM81" i="1"/>
  <c r="AN81" i="1"/>
  <c r="AO81" i="1"/>
  <c r="AP81" i="1"/>
  <c r="AQ81" i="1"/>
  <c r="AK82" i="1"/>
  <c r="AL82" i="1"/>
  <c r="AM82" i="1"/>
  <c r="AN82" i="1"/>
  <c r="AO82" i="1"/>
  <c r="AP82" i="1"/>
  <c r="AQ82" i="1"/>
  <c r="AK83" i="1"/>
  <c r="AL83" i="1"/>
  <c r="AM83" i="1"/>
  <c r="AN83" i="1"/>
  <c r="AO83" i="1"/>
  <c r="AP83" i="1"/>
  <c r="AQ83" i="1"/>
  <c r="AK84" i="1"/>
  <c r="AL84" i="1"/>
  <c r="AM84" i="1"/>
  <c r="AN84" i="1"/>
  <c r="AO84" i="1"/>
  <c r="AP84" i="1"/>
  <c r="AQ84" i="1"/>
  <c r="AK85" i="1"/>
  <c r="AL85" i="1"/>
  <c r="AM85" i="1"/>
  <c r="AN85" i="1"/>
  <c r="AO85" i="1"/>
  <c r="AP85" i="1"/>
  <c r="AQ85" i="1"/>
  <c r="AK86" i="1"/>
  <c r="AL86" i="1"/>
  <c r="AM86" i="1"/>
  <c r="AN86" i="1"/>
  <c r="AO86" i="1"/>
  <c r="AP86" i="1"/>
  <c r="AQ86" i="1"/>
  <c r="AK87" i="1"/>
  <c r="AL87" i="1"/>
  <c r="AM87" i="1"/>
  <c r="AN87" i="1"/>
  <c r="AO87" i="1"/>
  <c r="AP87" i="1"/>
  <c r="AQ87" i="1"/>
  <c r="AK88" i="1"/>
  <c r="AL88" i="1"/>
  <c r="AM88" i="1"/>
  <c r="AN88" i="1"/>
  <c r="AO88" i="1"/>
  <c r="AP88" i="1"/>
  <c r="AQ88" i="1"/>
  <c r="AK89" i="1"/>
  <c r="AL89" i="1"/>
  <c r="AM89" i="1"/>
  <c r="AN89" i="1"/>
  <c r="AO89" i="1"/>
  <c r="AP89" i="1"/>
  <c r="AQ89" i="1"/>
  <c r="AK90" i="1"/>
  <c r="AL90" i="1"/>
  <c r="AM90" i="1"/>
  <c r="AN90" i="1"/>
  <c r="AO90" i="1"/>
  <c r="AP90" i="1"/>
  <c r="AQ90" i="1"/>
  <c r="AK91" i="1"/>
  <c r="AL91" i="1"/>
  <c r="AM91" i="1"/>
  <c r="AN91" i="1"/>
  <c r="AO91" i="1"/>
  <c r="AP91" i="1"/>
  <c r="AQ91" i="1"/>
  <c r="AK92" i="1"/>
  <c r="AL92" i="1"/>
  <c r="AM92" i="1"/>
  <c r="AN92" i="1"/>
  <c r="AO92" i="1"/>
  <c r="AP92" i="1"/>
  <c r="AQ92" i="1"/>
  <c r="AK93" i="1"/>
  <c r="AL93" i="1"/>
  <c r="AM93" i="1"/>
  <c r="AN93" i="1"/>
  <c r="AO93" i="1"/>
  <c r="AP93" i="1"/>
  <c r="AQ93" i="1"/>
  <c r="AK94" i="1"/>
  <c r="AL94" i="1"/>
  <c r="AM94" i="1"/>
  <c r="AN94" i="1"/>
  <c r="AO94" i="1"/>
  <c r="AP94" i="1"/>
  <c r="AQ94" i="1"/>
  <c r="AK95" i="1"/>
  <c r="AL95" i="1"/>
  <c r="AM95" i="1"/>
  <c r="AN95" i="1"/>
  <c r="AO95" i="1"/>
  <c r="AP95" i="1"/>
  <c r="AQ95" i="1"/>
  <c r="AK96" i="1"/>
  <c r="AL96" i="1"/>
  <c r="AM96" i="1"/>
  <c r="AN96" i="1"/>
  <c r="AO96" i="1"/>
  <c r="AP96" i="1"/>
  <c r="AQ96" i="1"/>
  <c r="AK97" i="1"/>
  <c r="AL97" i="1"/>
  <c r="AM97" i="1"/>
  <c r="AN97" i="1"/>
  <c r="AO97" i="1"/>
  <c r="AP97" i="1"/>
  <c r="AQ97" i="1"/>
  <c r="AK98" i="1"/>
  <c r="AL98" i="1"/>
  <c r="AM98" i="1"/>
  <c r="AN98" i="1"/>
  <c r="AO98" i="1"/>
  <c r="AP98" i="1"/>
  <c r="AQ98" i="1"/>
  <c r="AK99" i="1"/>
  <c r="AL99" i="1"/>
  <c r="AM99" i="1"/>
  <c r="AN99" i="1"/>
  <c r="AO99" i="1"/>
  <c r="AP99" i="1"/>
  <c r="AQ99" i="1"/>
  <c r="AK100" i="1"/>
  <c r="AL100" i="1"/>
  <c r="AM100" i="1"/>
  <c r="AN100" i="1"/>
  <c r="AO100" i="1"/>
  <c r="AP100" i="1"/>
  <c r="AQ100" i="1"/>
  <c r="AK101" i="1"/>
  <c r="AL101" i="1"/>
  <c r="AM101" i="1"/>
  <c r="AN101" i="1"/>
  <c r="AO101" i="1"/>
  <c r="AP101" i="1"/>
  <c r="AQ101" i="1"/>
  <c r="AK102" i="1"/>
  <c r="AL102" i="1"/>
  <c r="AM102" i="1"/>
  <c r="AN102" i="1"/>
  <c r="AO102" i="1"/>
  <c r="AP102" i="1"/>
  <c r="AQ102" i="1"/>
  <c r="AK103" i="1"/>
  <c r="AL103" i="1"/>
  <c r="AM103" i="1"/>
  <c r="AN103" i="1"/>
  <c r="AO103" i="1"/>
  <c r="AP103" i="1"/>
  <c r="AQ103" i="1"/>
  <c r="AK104" i="1"/>
  <c r="AL104" i="1"/>
  <c r="AM104" i="1"/>
  <c r="AN104" i="1"/>
  <c r="AO104" i="1"/>
  <c r="AP104" i="1"/>
  <c r="AQ104" i="1"/>
  <c r="AK105" i="1"/>
  <c r="AL105" i="1"/>
  <c r="AM105" i="1"/>
  <c r="AN105" i="1"/>
  <c r="AO105" i="1"/>
  <c r="AP105" i="1"/>
  <c r="AQ105" i="1"/>
  <c r="AK106" i="1"/>
  <c r="AL106" i="1"/>
  <c r="AM106" i="1"/>
  <c r="AN106" i="1"/>
  <c r="AO106" i="1"/>
  <c r="AP106" i="1"/>
  <c r="AQ106" i="1"/>
  <c r="AK107" i="1"/>
  <c r="AL107" i="1"/>
  <c r="AM107" i="1"/>
  <c r="AN107" i="1"/>
  <c r="AO107" i="1"/>
  <c r="AP107" i="1"/>
  <c r="AQ107" i="1"/>
  <c r="AK108" i="1"/>
  <c r="AL108" i="1"/>
  <c r="AM108" i="1"/>
  <c r="AN108" i="1"/>
  <c r="AO108" i="1"/>
  <c r="AP108" i="1"/>
  <c r="AQ108" i="1"/>
  <c r="AK109" i="1"/>
  <c r="AL109" i="1"/>
  <c r="AM109" i="1"/>
  <c r="AN109" i="1"/>
  <c r="AO109" i="1"/>
  <c r="AP109" i="1"/>
  <c r="AQ109" i="1"/>
  <c r="AK110" i="1"/>
  <c r="AL110" i="1"/>
  <c r="AM110" i="1"/>
  <c r="AN110" i="1"/>
  <c r="AO110" i="1"/>
  <c r="AP110" i="1"/>
  <c r="AQ110" i="1"/>
  <c r="AK111" i="1"/>
  <c r="AL111" i="1"/>
  <c r="AM111" i="1"/>
  <c r="AN111" i="1"/>
  <c r="AO111" i="1"/>
  <c r="AP111" i="1"/>
  <c r="AQ111" i="1"/>
  <c r="AK112" i="1"/>
  <c r="AL112" i="1"/>
  <c r="AM112" i="1"/>
  <c r="AN112" i="1"/>
  <c r="AO112" i="1"/>
  <c r="AP112" i="1"/>
  <c r="AQ112" i="1"/>
  <c r="AK113" i="1"/>
  <c r="AL113" i="1"/>
  <c r="AM113" i="1"/>
  <c r="AN113" i="1"/>
  <c r="AO113" i="1"/>
  <c r="AP113" i="1"/>
  <c r="AQ113" i="1"/>
  <c r="AK114" i="1"/>
  <c r="AL114" i="1"/>
  <c r="AM114" i="1"/>
  <c r="AN114" i="1"/>
  <c r="AO114" i="1"/>
  <c r="AP114" i="1"/>
  <c r="AQ114" i="1"/>
  <c r="AK115" i="1"/>
  <c r="AL115" i="1"/>
  <c r="AM115" i="1"/>
  <c r="AN115" i="1"/>
  <c r="AO115" i="1"/>
  <c r="AP115" i="1"/>
  <c r="AQ115" i="1"/>
  <c r="AK116" i="1"/>
  <c r="AL116" i="1"/>
  <c r="AM116" i="1"/>
  <c r="AN116" i="1"/>
  <c r="AO116" i="1"/>
  <c r="AP116" i="1"/>
  <c r="AQ116" i="1"/>
  <c r="AK117" i="1"/>
  <c r="AL117" i="1"/>
  <c r="AM117" i="1"/>
  <c r="AN117" i="1"/>
  <c r="AO117" i="1"/>
  <c r="AP117" i="1"/>
  <c r="AQ117" i="1"/>
  <c r="AK118" i="1"/>
  <c r="AL118" i="1"/>
  <c r="AM118" i="1"/>
  <c r="AN118" i="1"/>
  <c r="AO118" i="1"/>
  <c r="AP118" i="1"/>
  <c r="AQ118" i="1"/>
  <c r="AK119" i="1"/>
  <c r="AL119" i="1"/>
  <c r="AM119" i="1"/>
  <c r="AN119" i="1"/>
  <c r="AO119" i="1"/>
  <c r="AP119" i="1"/>
  <c r="AQ119" i="1"/>
  <c r="AK120" i="1"/>
  <c r="AL120" i="1"/>
  <c r="AM120" i="1"/>
  <c r="AN120" i="1"/>
  <c r="AO120" i="1"/>
  <c r="AP120" i="1"/>
  <c r="AQ120" i="1"/>
  <c r="AK121" i="1"/>
  <c r="AL121" i="1"/>
  <c r="AM121" i="1"/>
  <c r="AN121" i="1"/>
  <c r="AO121" i="1"/>
  <c r="AP121" i="1"/>
  <c r="AQ121" i="1"/>
  <c r="AK122" i="1"/>
  <c r="AL122" i="1"/>
  <c r="AM122" i="1"/>
  <c r="AN122" i="1"/>
  <c r="AO122" i="1"/>
  <c r="AP122" i="1"/>
  <c r="AQ122" i="1"/>
  <c r="AK123" i="1"/>
  <c r="AL123" i="1"/>
  <c r="AM123" i="1"/>
  <c r="AN123" i="1"/>
  <c r="AO123" i="1"/>
  <c r="AP123" i="1"/>
  <c r="AQ123" i="1"/>
  <c r="AK124" i="1"/>
  <c r="AL124" i="1"/>
  <c r="AM124" i="1"/>
  <c r="AN124" i="1"/>
  <c r="AO124" i="1"/>
  <c r="AP124" i="1"/>
  <c r="AQ124" i="1"/>
  <c r="AK125" i="1"/>
  <c r="AL125" i="1"/>
  <c r="AM125" i="1"/>
  <c r="AN125" i="1"/>
  <c r="AO125" i="1"/>
  <c r="AP125" i="1"/>
  <c r="AQ125" i="1"/>
  <c r="AK126" i="1"/>
  <c r="AL126" i="1"/>
  <c r="AM126" i="1"/>
  <c r="AN126" i="1"/>
  <c r="AO126" i="1"/>
  <c r="AP126" i="1"/>
  <c r="AQ126" i="1"/>
  <c r="AK127" i="1"/>
  <c r="AL127" i="1"/>
  <c r="AM127" i="1"/>
  <c r="AN127" i="1"/>
  <c r="AO127" i="1"/>
  <c r="AP127" i="1"/>
  <c r="AQ127" i="1"/>
  <c r="AK128" i="1"/>
  <c r="AL128" i="1"/>
  <c r="AM128" i="1"/>
  <c r="AN128" i="1"/>
  <c r="AO128" i="1"/>
  <c r="AP128" i="1"/>
  <c r="AQ128" i="1"/>
  <c r="AK129" i="1"/>
  <c r="AL129" i="1"/>
  <c r="AM129" i="1"/>
  <c r="AN129" i="1"/>
  <c r="AO129" i="1"/>
  <c r="AP129" i="1"/>
  <c r="AQ129" i="1"/>
  <c r="AK130" i="1"/>
  <c r="AL130" i="1"/>
  <c r="AM130" i="1"/>
  <c r="AN130" i="1"/>
  <c r="AO130" i="1"/>
  <c r="AP130" i="1"/>
  <c r="AQ130" i="1"/>
  <c r="AK131" i="1"/>
  <c r="AL131" i="1"/>
  <c r="AM131" i="1"/>
  <c r="AN131" i="1"/>
  <c r="AO131" i="1"/>
  <c r="AP131" i="1"/>
  <c r="AQ131" i="1"/>
  <c r="AK132" i="1"/>
  <c r="AL132" i="1"/>
  <c r="AM132" i="1"/>
  <c r="AN132" i="1"/>
  <c r="AO132" i="1"/>
  <c r="AP132" i="1"/>
  <c r="AQ132" i="1"/>
  <c r="AK133" i="1"/>
  <c r="AL133" i="1"/>
  <c r="AM133" i="1"/>
  <c r="AN133" i="1"/>
  <c r="AO133" i="1"/>
  <c r="AP133" i="1"/>
  <c r="AQ133" i="1"/>
  <c r="AK134" i="1"/>
  <c r="AL134" i="1"/>
  <c r="AM134" i="1"/>
  <c r="AN134" i="1"/>
  <c r="AO134" i="1"/>
  <c r="AP134" i="1"/>
  <c r="AQ134" i="1"/>
  <c r="AK135" i="1"/>
  <c r="AL135" i="1"/>
  <c r="AM135" i="1"/>
  <c r="AN135" i="1"/>
  <c r="AO135" i="1"/>
  <c r="AP135" i="1"/>
  <c r="AQ135" i="1"/>
  <c r="AK136" i="1"/>
  <c r="AL136" i="1"/>
  <c r="AM136" i="1"/>
  <c r="AN136" i="1"/>
  <c r="AO136" i="1"/>
  <c r="AP136" i="1"/>
  <c r="AQ136" i="1"/>
  <c r="AK137" i="1"/>
  <c r="AL137" i="1"/>
  <c r="AM137" i="1"/>
  <c r="AN137" i="1"/>
  <c r="AO137" i="1"/>
  <c r="AP137" i="1"/>
  <c r="AQ137" i="1"/>
  <c r="AK138" i="1"/>
  <c r="AL138" i="1"/>
  <c r="AM138" i="1"/>
  <c r="AN138" i="1"/>
  <c r="AO138" i="1"/>
  <c r="AP138" i="1"/>
  <c r="AQ138" i="1"/>
  <c r="AK139" i="1"/>
  <c r="AL139" i="1"/>
  <c r="AM139" i="1"/>
  <c r="AN139" i="1"/>
  <c r="AO139" i="1"/>
  <c r="AP139" i="1"/>
  <c r="AQ139" i="1"/>
  <c r="AK140" i="1"/>
  <c r="AL140" i="1"/>
  <c r="AM140" i="1"/>
  <c r="AN140" i="1"/>
  <c r="AO140" i="1"/>
  <c r="AP140" i="1"/>
  <c r="AQ140" i="1"/>
  <c r="AK141" i="1"/>
  <c r="AL141" i="1"/>
  <c r="AM141" i="1"/>
  <c r="AN141" i="1"/>
  <c r="AO141" i="1"/>
  <c r="AP141" i="1"/>
  <c r="AQ141" i="1"/>
  <c r="AK142" i="1"/>
  <c r="AL142" i="1"/>
  <c r="AM142" i="1"/>
  <c r="AN142" i="1"/>
  <c r="AO142" i="1"/>
  <c r="AP142" i="1"/>
  <c r="AQ142" i="1"/>
  <c r="AK143" i="1"/>
  <c r="AL143" i="1"/>
  <c r="AM143" i="1"/>
  <c r="AN143" i="1"/>
  <c r="AO143" i="1"/>
  <c r="AP143" i="1"/>
  <c r="AQ143" i="1"/>
  <c r="AK144" i="1"/>
  <c r="AL144" i="1"/>
  <c r="AM144" i="1"/>
  <c r="AN144" i="1"/>
  <c r="AO144" i="1"/>
  <c r="AP144" i="1"/>
  <c r="AQ144" i="1"/>
  <c r="AK145" i="1"/>
  <c r="AL145" i="1"/>
  <c r="AM145" i="1"/>
  <c r="AN145" i="1"/>
  <c r="AO145" i="1"/>
  <c r="AP145" i="1"/>
  <c r="AQ145" i="1"/>
  <c r="AK146" i="1"/>
  <c r="AL146" i="1"/>
  <c r="AM146" i="1"/>
  <c r="AN146" i="1"/>
  <c r="AO146" i="1"/>
  <c r="AP146" i="1"/>
  <c r="AQ146" i="1"/>
  <c r="AK147" i="1"/>
  <c r="AL147" i="1"/>
  <c r="AM147" i="1"/>
  <c r="AN147" i="1"/>
  <c r="AO147" i="1"/>
  <c r="AP147" i="1"/>
  <c r="AQ147" i="1"/>
  <c r="AK148" i="1"/>
  <c r="AL148" i="1"/>
  <c r="AM148" i="1"/>
  <c r="AN148" i="1"/>
  <c r="AO148" i="1"/>
  <c r="AP148" i="1"/>
  <c r="AQ148" i="1"/>
  <c r="AK149" i="1"/>
  <c r="AL149" i="1"/>
  <c r="AM149" i="1"/>
  <c r="AN149" i="1"/>
  <c r="AO149" i="1"/>
  <c r="AP149" i="1"/>
  <c r="AQ149" i="1"/>
  <c r="AK150" i="1"/>
  <c r="AL150" i="1"/>
  <c r="AM150" i="1"/>
  <c r="AN150" i="1"/>
  <c r="AO150" i="1"/>
  <c r="AP150" i="1"/>
  <c r="AQ150" i="1"/>
  <c r="AK151" i="1"/>
  <c r="AL151" i="1"/>
  <c r="AM151" i="1"/>
  <c r="AN151" i="1"/>
  <c r="AO151" i="1"/>
  <c r="AP151" i="1"/>
  <c r="AQ151" i="1"/>
  <c r="AK152" i="1"/>
  <c r="AL152" i="1"/>
  <c r="AM152" i="1"/>
  <c r="AN152" i="1"/>
  <c r="AO152" i="1"/>
  <c r="AP152" i="1"/>
  <c r="AQ152" i="1"/>
  <c r="AK153" i="1"/>
  <c r="AL153" i="1"/>
  <c r="AM153" i="1"/>
  <c r="AN153" i="1"/>
  <c r="AO153" i="1"/>
  <c r="AP153" i="1"/>
  <c r="AQ153" i="1"/>
  <c r="AK154" i="1"/>
  <c r="AL154" i="1"/>
  <c r="AM154" i="1"/>
  <c r="AN154" i="1"/>
  <c r="AO154" i="1"/>
  <c r="AP154" i="1"/>
  <c r="AQ154" i="1"/>
  <c r="AK155" i="1"/>
  <c r="AL155" i="1"/>
  <c r="AM155" i="1"/>
  <c r="AN155" i="1"/>
  <c r="AO155" i="1"/>
  <c r="AP155" i="1"/>
  <c r="AQ155" i="1"/>
  <c r="AK156" i="1"/>
  <c r="AL156" i="1"/>
  <c r="AM156" i="1"/>
  <c r="AN156" i="1"/>
  <c r="AO156" i="1"/>
  <c r="AP156" i="1"/>
  <c r="AQ156" i="1"/>
  <c r="AK157" i="1"/>
  <c r="AL157" i="1"/>
  <c r="AM157" i="1"/>
  <c r="AN157" i="1"/>
  <c r="AO157" i="1"/>
  <c r="AP157" i="1"/>
  <c r="AQ157" i="1"/>
  <c r="AK158" i="1"/>
  <c r="AL158" i="1"/>
  <c r="AM158" i="1"/>
  <c r="AN158" i="1"/>
  <c r="AO158" i="1"/>
  <c r="AP158" i="1"/>
  <c r="AQ158" i="1"/>
  <c r="AK159" i="1"/>
  <c r="AL159" i="1"/>
  <c r="AM159" i="1"/>
  <c r="AN159" i="1"/>
  <c r="AO159" i="1"/>
  <c r="AP159" i="1"/>
  <c r="AQ159" i="1"/>
  <c r="AK160" i="1"/>
  <c r="AL160" i="1"/>
  <c r="AM160" i="1"/>
  <c r="AN160" i="1"/>
  <c r="AO160" i="1"/>
  <c r="AP160" i="1"/>
  <c r="AQ160" i="1"/>
  <c r="AK161" i="1"/>
  <c r="AL161" i="1"/>
  <c r="AM161" i="1"/>
  <c r="AN161" i="1"/>
  <c r="AO161" i="1"/>
  <c r="AP161" i="1"/>
  <c r="AQ161" i="1"/>
  <c r="AK162" i="1"/>
  <c r="AL162" i="1"/>
  <c r="AM162" i="1"/>
  <c r="AN162" i="1"/>
  <c r="AO162" i="1"/>
  <c r="AP162" i="1"/>
  <c r="AQ162" i="1"/>
  <c r="AK163" i="1"/>
  <c r="AL163" i="1"/>
  <c r="AM163" i="1"/>
  <c r="AN163" i="1"/>
  <c r="AO163" i="1"/>
  <c r="AP163" i="1"/>
  <c r="AQ163" i="1"/>
  <c r="AK164" i="1"/>
  <c r="AL164" i="1"/>
  <c r="AM164" i="1"/>
  <c r="AN164" i="1"/>
  <c r="AO164" i="1"/>
  <c r="AP164" i="1"/>
  <c r="AQ164" i="1"/>
  <c r="AK165" i="1"/>
  <c r="AL165" i="1"/>
  <c r="AM165" i="1"/>
  <c r="AN165" i="1"/>
  <c r="AO165" i="1"/>
  <c r="AP165" i="1"/>
  <c r="AQ165" i="1"/>
  <c r="AK166" i="1"/>
  <c r="AL166" i="1"/>
  <c r="AM166" i="1"/>
  <c r="AN166" i="1"/>
  <c r="AO166" i="1"/>
  <c r="AP166" i="1"/>
  <c r="AQ166" i="1"/>
  <c r="AK167" i="1"/>
  <c r="AL167" i="1"/>
  <c r="AM167" i="1"/>
  <c r="AN167" i="1"/>
  <c r="AO167" i="1"/>
  <c r="AP167" i="1"/>
  <c r="AQ167" i="1"/>
  <c r="AK168" i="1"/>
  <c r="AL168" i="1"/>
  <c r="AM168" i="1"/>
  <c r="AN168" i="1"/>
  <c r="AO168" i="1"/>
  <c r="AP168" i="1"/>
  <c r="AQ168" i="1"/>
  <c r="AK169" i="1"/>
  <c r="AL169" i="1"/>
  <c r="AM169" i="1"/>
  <c r="AN169" i="1"/>
  <c r="AO169" i="1"/>
  <c r="AP169" i="1"/>
  <c r="AQ169" i="1"/>
  <c r="AK170" i="1"/>
  <c r="AL170" i="1"/>
  <c r="AM170" i="1"/>
  <c r="AN170" i="1"/>
  <c r="AO170" i="1"/>
  <c r="AP170" i="1"/>
  <c r="AQ170" i="1"/>
  <c r="AK171" i="1"/>
  <c r="AL171" i="1"/>
  <c r="AM171" i="1"/>
  <c r="AN171" i="1"/>
  <c r="AO171" i="1"/>
  <c r="AP171" i="1"/>
  <c r="AQ171" i="1"/>
  <c r="AK172" i="1"/>
  <c r="AL172" i="1"/>
  <c r="AM172" i="1"/>
  <c r="AN172" i="1"/>
  <c r="AO172" i="1"/>
  <c r="AP172" i="1"/>
  <c r="AQ172" i="1"/>
  <c r="AK173" i="1"/>
  <c r="AL173" i="1"/>
  <c r="AM173" i="1"/>
  <c r="AN173" i="1"/>
  <c r="AO173" i="1"/>
  <c r="AP173" i="1"/>
  <c r="AQ173" i="1"/>
  <c r="AK174" i="1"/>
  <c r="AL174" i="1"/>
  <c r="AM174" i="1"/>
  <c r="AN174" i="1"/>
  <c r="AO174" i="1"/>
  <c r="AP174" i="1"/>
  <c r="AQ174" i="1"/>
  <c r="AK175" i="1"/>
  <c r="AL175" i="1"/>
  <c r="AM175" i="1"/>
  <c r="AN175" i="1"/>
  <c r="AO175" i="1"/>
  <c r="AP175" i="1"/>
  <c r="AQ175" i="1"/>
  <c r="AK176" i="1"/>
  <c r="AL176" i="1"/>
  <c r="AM176" i="1"/>
  <c r="AN176" i="1"/>
  <c r="AO176" i="1"/>
  <c r="AP176" i="1"/>
  <c r="AQ176" i="1"/>
  <c r="AK177" i="1"/>
  <c r="AL177" i="1"/>
  <c r="AM177" i="1"/>
  <c r="AN177" i="1"/>
  <c r="AO177" i="1"/>
  <c r="AP177" i="1"/>
  <c r="AQ177" i="1"/>
  <c r="AK178" i="1"/>
  <c r="AL178" i="1"/>
  <c r="AM178" i="1"/>
  <c r="AN178" i="1"/>
  <c r="AO178" i="1"/>
  <c r="AP178" i="1"/>
  <c r="AQ178" i="1"/>
  <c r="AK179" i="1"/>
  <c r="AL179" i="1"/>
  <c r="AM179" i="1"/>
  <c r="AN179" i="1"/>
  <c r="AO179" i="1"/>
  <c r="AP179" i="1"/>
  <c r="AQ179" i="1"/>
  <c r="AK180" i="1"/>
  <c r="AL180" i="1"/>
  <c r="AM180" i="1"/>
  <c r="AN180" i="1"/>
  <c r="AO180" i="1"/>
  <c r="AP180" i="1"/>
  <c r="AQ180" i="1"/>
  <c r="AK181" i="1"/>
  <c r="AL181" i="1"/>
  <c r="AM181" i="1"/>
  <c r="AN181" i="1"/>
  <c r="AO181" i="1"/>
  <c r="AP181" i="1"/>
  <c r="AQ181" i="1"/>
  <c r="AK182" i="1"/>
  <c r="AL182" i="1"/>
  <c r="AM182" i="1"/>
  <c r="AN182" i="1"/>
  <c r="AO182" i="1"/>
  <c r="AP182" i="1"/>
  <c r="AQ182" i="1"/>
  <c r="AK183" i="1"/>
  <c r="AL183" i="1"/>
  <c r="AM183" i="1"/>
  <c r="AN183" i="1"/>
  <c r="AO183" i="1"/>
  <c r="AP183" i="1"/>
  <c r="AQ183" i="1"/>
  <c r="AK184" i="1"/>
  <c r="AL184" i="1"/>
  <c r="AM184" i="1"/>
  <c r="AN184" i="1"/>
  <c r="AO184" i="1"/>
  <c r="AP184" i="1"/>
  <c r="AQ184" i="1"/>
  <c r="AK185" i="1"/>
  <c r="AL185" i="1"/>
  <c r="AM185" i="1"/>
  <c r="AN185" i="1"/>
  <c r="AO185" i="1"/>
  <c r="AP185" i="1"/>
  <c r="AQ185" i="1"/>
  <c r="AK186" i="1"/>
  <c r="AL186" i="1"/>
  <c r="AM186" i="1"/>
  <c r="AN186" i="1"/>
  <c r="AO186" i="1"/>
  <c r="AP186" i="1"/>
  <c r="AQ186" i="1"/>
  <c r="AK187" i="1"/>
  <c r="AL187" i="1"/>
  <c r="AM187" i="1"/>
  <c r="AN187" i="1"/>
  <c r="AO187" i="1"/>
  <c r="AP187" i="1"/>
  <c r="AQ187" i="1"/>
  <c r="AK188" i="1"/>
  <c r="AL188" i="1"/>
  <c r="AM188" i="1"/>
  <c r="AN188" i="1"/>
  <c r="AO188" i="1"/>
  <c r="AP188" i="1"/>
  <c r="AQ188" i="1"/>
  <c r="AK189" i="1"/>
  <c r="AL189" i="1"/>
  <c r="AM189" i="1"/>
  <c r="AN189" i="1"/>
  <c r="AO189" i="1"/>
  <c r="AP189" i="1"/>
  <c r="AQ189" i="1"/>
  <c r="AK190" i="1"/>
  <c r="AL190" i="1"/>
  <c r="AM190" i="1"/>
  <c r="AN190" i="1"/>
  <c r="AO190" i="1"/>
  <c r="AP190" i="1"/>
  <c r="AQ190" i="1"/>
  <c r="AK191" i="1"/>
  <c r="AL191" i="1"/>
  <c r="AM191" i="1"/>
  <c r="AN191" i="1"/>
  <c r="AO191" i="1"/>
  <c r="AP191" i="1"/>
  <c r="AQ191" i="1"/>
  <c r="AK192" i="1"/>
  <c r="AL192" i="1"/>
  <c r="AM192" i="1"/>
  <c r="AN192" i="1"/>
  <c r="AO192" i="1"/>
  <c r="AP192" i="1"/>
  <c r="AQ192" i="1"/>
  <c r="AK193" i="1"/>
  <c r="AL193" i="1"/>
  <c r="AM193" i="1"/>
  <c r="AN193" i="1"/>
  <c r="AO193" i="1"/>
  <c r="AP193" i="1"/>
  <c r="AQ193" i="1"/>
  <c r="AK194" i="1"/>
  <c r="AL194" i="1"/>
  <c r="AM194" i="1"/>
  <c r="AN194" i="1"/>
  <c r="AO194" i="1"/>
  <c r="AP194" i="1"/>
  <c r="AQ194" i="1"/>
  <c r="AK195" i="1"/>
  <c r="AL195" i="1"/>
  <c r="AM195" i="1"/>
  <c r="AN195" i="1"/>
  <c r="AO195" i="1"/>
  <c r="AP195" i="1"/>
  <c r="AQ195" i="1"/>
  <c r="AK196" i="1"/>
  <c r="AL196" i="1"/>
  <c r="AM196" i="1"/>
  <c r="AN196" i="1"/>
  <c r="AO196" i="1"/>
  <c r="AP196" i="1"/>
  <c r="AQ196" i="1"/>
  <c r="AK197" i="1"/>
  <c r="AL197" i="1"/>
  <c r="AM197" i="1"/>
  <c r="AN197" i="1"/>
  <c r="AO197" i="1"/>
  <c r="AP197" i="1"/>
  <c r="AQ197" i="1"/>
  <c r="AK198" i="1"/>
  <c r="AL198" i="1"/>
  <c r="AM198" i="1"/>
  <c r="AN198" i="1"/>
  <c r="AO198" i="1"/>
  <c r="AP198" i="1"/>
  <c r="AQ198" i="1"/>
  <c r="AK199" i="1"/>
  <c r="AL199" i="1"/>
  <c r="AM199" i="1"/>
  <c r="AN199" i="1"/>
  <c r="AO199" i="1"/>
  <c r="AP199" i="1"/>
  <c r="AQ199" i="1"/>
  <c r="AK200" i="1"/>
  <c r="AL200" i="1"/>
  <c r="AM200" i="1"/>
  <c r="AN200" i="1"/>
  <c r="AO200" i="1"/>
  <c r="AP200" i="1"/>
  <c r="AQ200" i="1"/>
  <c r="AK201" i="1"/>
  <c r="AL201" i="1"/>
  <c r="AM201" i="1"/>
  <c r="AN201" i="1"/>
  <c r="AO201" i="1"/>
  <c r="AP201" i="1"/>
  <c r="AQ201" i="1"/>
  <c r="AK202" i="1"/>
  <c r="AL202" i="1"/>
  <c r="AM202" i="1"/>
  <c r="AN202" i="1"/>
  <c r="AO202" i="1"/>
  <c r="AP202" i="1"/>
  <c r="AQ202" i="1"/>
  <c r="AK203" i="1"/>
  <c r="AL203" i="1"/>
  <c r="AM203" i="1"/>
  <c r="AN203" i="1"/>
  <c r="AO203" i="1"/>
  <c r="AP203" i="1"/>
  <c r="AQ203" i="1"/>
  <c r="AK204" i="1"/>
  <c r="AL204" i="1"/>
  <c r="AM204" i="1"/>
  <c r="AN204" i="1"/>
  <c r="AO204" i="1"/>
  <c r="AP204" i="1"/>
  <c r="AQ204" i="1"/>
  <c r="AK205" i="1"/>
  <c r="AL205" i="1"/>
  <c r="AM205" i="1"/>
  <c r="AN205" i="1"/>
  <c r="AO205" i="1"/>
  <c r="AP205" i="1"/>
  <c r="AQ205" i="1"/>
  <c r="AK206" i="1"/>
  <c r="AL206" i="1"/>
  <c r="AM206" i="1"/>
  <c r="AN206" i="1"/>
  <c r="AO206" i="1"/>
  <c r="AP206" i="1"/>
  <c r="AQ206" i="1"/>
  <c r="AK207" i="1"/>
  <c r="AL207" i="1"/>
  <c r="AM207" i="1"/>
  <c r="AN207" i="1"/>
  <c r="AO207" i="1"/>
  <c r="AP207" i="1"/>
  <c r="AQ207" i="1"/>
  <c r="AK208" i="1"/>
  <c r="AL208" i="1"/>
  <c r="AM208" i="1"/>
  <c r="AN208" i="1"/>
  <c r="AO208" i="1"/>
  <c r="AP208" i="1"/>
  <c r="AQ208" i="1"/>
  <c r="AK209" i="1"/>
  <c r="AL209" i="1"/>
  <c r="AM209" i="1"/>
  <c r="AN209" i="1"/>
  <c r="AO209" i="1"/>
  <c r="AP209" i="1"/>
  <c r="AQ209" i="1"/>
  <c r="AK210" i="1"/>
  <c r="AL210" i="1"/>
  <c r="AM210" i="1"/>
  <c r="AN210" i="1"/>
  <c r="AO210" i="1"/>
  <c r="AP210" i="1"/>
  <c r="AQ210" i="1"/>
  <c r="AK211" i="1"/>
  <c r="AL211" i="1"/>
  <c r="AM211" i="1"/>
  <c r="AN211" i="1"/>
  <c r="AO211" i="1"/>
  <c r="AP211" i="1"/>
  <c r="AQ211" i="1"/>
  <c r="AK212" i="1"/>
  <c r="AL212" i="1"/>
  <c r="AM212" i="1"/>
  <c r="AN212" i="1"/>
  <c r="AO212" i="1"/>
  <c r="AP212" i="1"/>
  <c r="AQ212" i="1"/>
  <c r="AK213" i="1"/>
  <c r="AL213" i="1"/>
  <c r="AM213" i="1"/>
  <c r="AN213" i="1"/>
  <c r="AO213" i="1"/>
  <c r="AP213" i="1"/>
  <c r="AQ213" i="1"/>
  <c r="AK214" i="1"/>
  <c r="AL214" i="1"/>
  <c r="AM214" i="1"/>
  <c r="AN214" i="1"/>
  <c r="AO214" i="1"/>
  <c r="AP214" i="1"/>
  <c r="AQ214" i="1"/>
  <c r="AK215" i="1"/>
  <c r="AL215" i="1"/>
  <c r="AM215" i="1"/>
  <c r="AN215" i="1"/>
  <c r="AO215" i="1"/>
  <c r="AP215" i="1"/>
  <c r="AQ215" i="1"/>
  <c r="AK216" i="1"/>
  <c r="AL216" i="1"/>
  <c r="AM216" i="1"/>
  <c r="AN216" i="1"/>
  <c r="AO216" i="1"/>
  <c r="AP216" i="1"/>
  <c r="AQ216" i="1"/>
  <c r="AK217" i="1"/>
  <c r="AL217" i="1"/>
  <c r="AM217" i="1"/>
  <c r="AN217" i="1"/>
  <c r="AO217" i="1"/>
  <c r="AP217" i="1"/>
  <c r="AQ217" i="1"/>
  <c r="AK218" i="1"/>
  <c r="AL218" i="1"/>
  <c r="AM218" i="1"/>
  <c r="AN218" i="1"/>
  <c r="AO218" i="1"/>
  <c r="AP218" i="1"/>
  <c r="AQ218" i="1"/>
  <c r="AK219" i="1"/>
  <c r="AL219" i="1"/>
  <c r="AM219" i="1"/>
  <c r="AN219" i="1"/>
  <c r="AO219" i="1"/>
  <c r="AP219" i="1"/>
  <c r="AQ219" i="1"/>
  <c r="AK220" i="1"/>
  <c r="AL220" i="1"/>
  <c r="AM220" i="1"/>
  <c r="AN220" i="1"/>
  <c r="AO220" i="1"/>
  <c r="AP220" i="1"/>
  <c r="AQ220" i="1"/>
  <c r="AK221" i="1"/>
  <c r="AL221" i="1"/>
  <c r="AM221" i="1"/>
  <c r="AN221" i="1"/>
  <c r="AO221" i="1"/>
  <c r="AP221" i="1"/>
  <c r="AQ221" i="1"/>
  <c r="AK222" i="1"/>
  <c r="AL222" i="1"/>
  <c r="AM222" i="1"/>
  <c r="AN222" i="1"/>
  <c r="AO222" i="1"/>
  <c r="AP222" i="1"/>
  <c r="AQ222" i="1"/>
  <c r="AK223" i="1"/>
  <c r="AL223" i="1"/>
  <c r="AM223" i="1"/>
  <c r="AN223" i="1"/>
  <c r="AO223" i="1"/>
  <c r="AP223" i="1"/>
  <c r="AQ223" i="1"/>
  <c r="AK224" i="1"/>
  <c r="AL224" i="1"/>
  <c r="AM224" i="1"/>
  <c r="AN224" i="1"/>
  <c r="AO224" i="1"/>
  <c r="AP224" i="1"/>
  <c r="AQ224" i="1"/>
  <c r="AK225" i="1"/>
  <c r="AL225" i="1"/>
  <c r="AM225" i="1"/>
  <c r="AN225" i="1"/>
  <c r="AO225" i="1"/>
  <c r="AP225" i="1"/>
  <c r="AQ225" i="1"/>
  <c r="AQ4" i="1"/>
  <c r="AP4" i="1"/>
  <c r="AO4" i="1"/>
  <c r="AN4" i="1"/>
  <c r="AM4" i="1"/>
  <c r="AL4" i="1"/>
  <c r="AK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4" i="1"/>
  <c r="U4" i="1"/>
  <c r="T4" i="1"/>
  <c r="S4" i="1"/>
  <c r="R4" i="1"/>
  <c r="Q4" i="1"/>
  <c r="O4" i="1"/>
  <c r="N4" i="1"/>
  <c r="AF4" i="1"/>
  <c r="AE4" i="1"/>
  <c r="AD4" i="1"/>
  <c r="AC4" i="1"/>
  <c r="AB4" i="1"/>
  <c r="AA4" i="1"/>
  <c r="Z4" i="1"/>
  <c r="Y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CW1" i="2" l="1"/>
  <c r="CS1" i="2"/>
  <c r="BK1" i="1"/>
  <c r="BG1" i="1"/>
  <c r="F20" i="1"/>
  <c r="E20" i="1"/>
  <c r="F28" i="2"/>
  <c r="D26" i="2"/>
  <c r="E12" i="1"/>
  <c r="E27" i="1"/>
  <c r="D25" i="1"/>
  <c r="E10" i="1"/>
  <c r="E25" i="2"/>
  <c r="D27" i="2"/>
  <c r="G16" i="1"/>
  <c r="E27" i="2"/>
  <c r="F27" i="2"/>
  <c r="D27" i="1"/>
  <c r="G20" i="2"/>
  <c r="F25" i="2"/>
  <c r="E28" i="1"/>
  <c r="G28" i="2"/>
  <c r="F25" i="1"/>
  <c r="F27" i="1"/>
  <c r="E28" i="2"/>
  <c r="E10" i="2"/>
  <c r="E26" i="2"/>
  <c r="F26" i="2"/>
  <c r="E16" i="1"/>
  <c r="D28" i="1"/>
  <c r="D26" i="1"/>
  <c r="E26" i="1"/>
  <c r="D28" i="2"/>
  <c r="G27" i="2"/>
  <c r="D20" i="2"/>
  <c r="F26" i="1"/>
  <c r="E25" i="1"/>
  <c r="D25" i="2"/>
  <c r="G26" i="2"/>
  <c r="D20" i="1"/>
  <c r="F28" i="1"/>
  <c r="G16" i="2"/>
  <c r="G25" i="2" l="1"/>
  <c r="G26" i="1"/>
  <c r="D16" i="1"/>
  <c r="G28" i="1"/>
  <c r="G27" i="1"/>
  <c r="G20" i="1"/>
  <c r="D29" i="1"/>
  <c r="D21" i="1"/>
  <c r="D11" i="1"/>
  <c r="G25" i="1"/>
  <c r="E16" i="2"/>
  <c r="G12" i="2"/>
  <c r="E12" i="2"/>
  <c r="E20" i="2"/>
  <c r="F20" i="2"/>
  <c r="D16" i="2" l="1"/>
  <c r="D21" i="2"/>
  <c r="D29" i="2"/>
  <c r="D11" i="2"/>
  <c r="G12" i="1" l="1"/>
</calcChain>
</file>

<file path=xl/sharedStrings.xml><?xml version="1.0" encoding="utf-8"?>
<sst xmlns="http://schemas.openxmlformats.org/spreadsheetml/2006/main" count="4232" uniqueCount="374">
  <si>
    <t xml:space="preserve">Simulador de Preços
</t>
  </si>
  <si>
    <t>POSIÇÃO</t>
  </si>
  <si>
    <t>UNIFAEL</t>
  </si>
  <si>
    <t>UNAMA</t>
  </si>
  <si>
    <t>UNG</t>
  </si>
  <si>
    <t>UNINASSAU</t>
  </si>
  <si>
    <t>OFERTA</t>
  </si>
  <si>
    <t>CURSO</t>
  </si>
  <si>
    <t>ÁREA</t>
  </si>
  <si>
    <t>Duração Meses</t>
  </si>
  <si>
    <t>Nº Parcelas</t>
  </si>
  <si>
    <t>$ NORMAL</t>
  </si>
  <si>
    <t>%  SITE</t>
  </si>
  <si>
    <t>$ SITE</t>
  </si>
  <si>
    <t>%  SGP</t>
  </si>
  <si>
    <t>$ SGP</t>
  </si>
  <si>
    <t>SERIE</t>
  </si>
  <si>
    <t>Curso</t>
  </si>
  <si>
    <t>MARCAS</t>
  </si>
  <si>
    <t>COM OFERTA</t>
  </si>
  <si>
    <t>SEM OFERTA</t>
  </si>
  <si>
    <t>Selecione a Marca ➜</t>
  </si>
  <si>
    <t>Selecione o Curso ➜</t>
  </si>
  <si>
    <t>Disponibilidade ➜</t>
  </si>
  <si>
    <t>Duração Meses ➜</t>
  </si>
  <si>
    <t>Área do Curso ➜</t>
  </si>
  <si>
    <t>VALOR NORMAL</t>
  </si>
  <si>
    <t>DESCONTO</t>
  </si>
  <si>
    <t>MENSALIDADE</t>
  </si>
  <si>
    <t xml:space="preserve"> PARCELAS</t>
  </si>
  <si>
    <t>VALOR OFERTADO NO SITE</t>
  </si>
  <si>
    <t>PARCELAS</t>
  </si>
  <si>
    <r>
      <t xml:space="preserve">MATRÍCULA 
</t>
    </r>
    <r>
      <rPr>
        <b/>
        <sz val="9"/>
        <color theme="1"/>
        <rFont val="Segoe UI"/>
        <family val="2"/>
      </rPr>
      <t>(1ª Parcela)</t>
    </r>
  </si>
  <si>
    <t>VALOR DISPONÍVEL SGP DO POLO</t>
  </si>
  <si>
    <t>ESPECIALIZAÇÃO EM ADMINISTRAÇÃO DE CONTRATOS PÚBLICOS</t>
  </si>
  <si>
    <t>ESPECIALIZAÇÃO EM ADMINISTRAÇÃO DE DEPARTAMENTO PESSOAL</t>
  </si>
  <si>
    <t>ESPECIALIZAÇÃO EM ADMINISTRAÇÃO DE PROTEÇÃO DE DADOS</t>
  </si>
  <si>
    <t>ESPECIALIZAÇÃO EM ADMINISTRAÇÃO EM SAÚDE PÚBLICA</t>
  </si>
  <si>
    <t>ESPECIALIZAÇÃO EM ADMINISTRAÇÃO PÚBLICA E DIREITO PÚBLICO</t>
  </si>
  <si>
    <t>ESPECIALIZAÇÃO EM ALFABETIZAÇÃO E LETRAMENTO</t>
  </si>
  <si>
    <t>ESPECIALIZAÇÃO EM ANÁLISES CLÍNICAS E DIAGNÓSTICO LABORATORIAL</t>
  </si>
  <si>
    <t>ESPECIALIZAÇÃO EM ANTROPOLOGIA E FUNDAMENTOS DA EDUCAÇÃO SOCIAL</t>
  </si>
  <si>
    <t>ESPECIALIZAÇÃO EM ARQUITETURA DE CLOUD COMPUTING</t>
  </si>
  <si>
    <t>ESPECIALIZAÇÃO EM ARQUITETURA DE COMPUTAÇÃO EM NUVEM</t>
  </si>
  <si>
    <t>ESPECIALIZAÇÃO EM AUDITORIA DA QUALIDADE</t>
  </si>
  <si>
    <t>ESPECIALIZAÇÃO EM AULAS ON-LINE PARA EDUCAÇÃO BÁSICA</t>
  </si>
  <si>
    <t>ESPECIALIZAÇÃO EM CIBERSEGURANÇA: MONITORAMENTO E PROTEÇÃO DIGITAL DE NEGÓCIOS</t>
  </si>
  <si>
    <t>ESPECIALIZAÇÃO EM CIÊNCIAS DE DADOS</t>
  </si>
  <si>
    <t>ESPECIALIZAÇÃO EM COMUNICAÇÃO E MARKETING POLÍTICO</t>
  </si>
  <si>
    <t>ESPECIALIZAÇÃO EM COMUNICAÇÃO E PORTUGUÊS JURÍDICO</t>
  </si>
  <si>
    <t>ESPECIALIZAÇÃO EM COMUNICAÇÃO ESTRATÉGICA E MARKETING POLÍTICO</t>
  </si>
  <si>
    <t>ESPECIALIZAÇÃO EM CONTABILIDADE GERENCIAL</t>
  </si>
  <si>
    <t>ESPECIALIZAÇÃO EM CONTROLE E QUALIDADE EM PROCESSOS, PRODUTOS E SERVIÇOS</t>
  </si>
  <si>
    <t>ESPECIALIZAÇÃO EM COSMETOLOGIA ESTÉTICA</t>
  </si>
  <si>
    <t>ESPECIALIZAÇÃO EM CUIDADO FARMACÊUTICO ONCOLÓGICO</t>
  </si>
  <si>
    <t>ESPECIALIZAÇÃO EM DATA SCIENCE</t>
  </si>
  <si>
    <t>ESPECIALIZAÇÃO EM DESIGN DE INTERIORES</t>
  </si>
  <si>
    <t>ESPECIALIZAÇÃO EM DESIGN DE INTERIORES COM ÊNFASE EM PROJETOS COMERCIAIS</t>
  </si>
  <si>
    <t>ESPECIALIZAÇÃO EM DESIGN DE PROJETOS COMERCIAIS</t>
  </si>
  <si>
    <t>ESPECIALIZAÇÃO EM DEVOPS</t>
  </si>
  <si>
    <t>ESPECIALIZAÇÃO EM DIDÁTICA E METODOLOGIA DO ENSINO DE GEOGRAFIA</t>
  </si>
  <si>
    <t>ESPECIALIZAÇÃO EM DIDÁTICA E METODOLOGIA DO ENSINO DE LÍNGUA PORTUGUESA</t>
  </si>
  <si>
    <t>ESPECIALIZAÇÃO EM DIGITAL INFLUENCER</t>
  </si>
  <si>
    <t>ESPECIALIZAÇÃO EM DIGITAL SECURITY</t>
  </si>
  <si>
    <t>ESPECIALIZAÇÃO EM DIREITO AMBIENTAL</t>
  </si>
  <si>
    <t>ESPECIALIZAÇÃO EM DIREITO CIVIL</t>
  </si>
  <si>
    <t>ESPECIALIZAÇÃO EM DIREITO CIVIL E PROCESSO CIVIL</t>
  </si>
  <si>
    <t>ESPECIALIZAÇÃO EM DIREITO DO CONSUMIDOR</t>
  </si>
  <si>
    <t>ESPECIALIZAÇÃO EM DIREITO DO TRABALHO</t>
  </si>
  <si>
    <t>ESPECIALIZAÇÃO EM DIREITO E MEIO AMBIENTE</t>
  </si>
  <si>
    <t>ESPECIALIZAÇÃO EM DIREITO ELEITORAL</t>
  </si>
  <si>
    <t>ESPECIALIZAÇÃO EM DIREITO MATERIAL E PROCESSUAL DO TRABALHO</t>
  </si>
  <si>
    <t>ESPECIALIZAÇÃO EM DIREITO NAS RELAÇÕES DE CONSUMO</t>
  </si>
  <si>
    <t>ESPECIALIZAÇÃO EM DIREITO PÚBLICO</t>
  </si>
  <si>
    <t>ESPECIALIZAÇÃO EM DIREITO PÚBLICO E ADMINISTRAÇÃO PÚBLICA</t>
  </si>
  <si>
    <t>ESPECIALIZAÇÃO EM DIREITO PÚBLICO E ORGANIZAÇÃO PÚBLICA</t>
  </si>
  <si>
    <t>ESPECIALIZAÇÃO EM DOCÊNCIA DA EDUCAÇÃO SUPERIOR</t>
  </si>
  <si>
    <t>ESPECIALIZAÇÃO EM DOCÊNCIA DO ENSINO SUPERIOR</t>
  </si>
  <si>
    <t>ESPECIALIZAÇÃO EM DOCÊNCIA E GESTÃO DO ENSINO SUPERIOR</t>
  </si>
  <si>
    <t>ESPECIALIZAÇÃO EM EDUCAÇÃO AMBIENTAL</t>
  </si>
  <si>
    <t>ESPECIALIZAÇÃO EM EDUCAÇÃO EM MEIO AMBIENTE</t>
  </si>
  <si>
    <t>ESPECIALIZAÇÃO EM EDUCAÇÃO ESPECIAL</t>
  </si>
  <si>
    <t>ESPECIALIZAÇÃO EM EDUCAÇÃO ESPECIAL E INCLUSIVA</t>
  </si>
  <si>
    <t>ESPECIALIZAÇÃO EM EDUCAÇÃO FINANCEIRA</t>
  </si>
  <si>
    <t>ESPECIALIZAÇÃO EM EDUCAÇÃO INFANTIL</t>
  </si>
  <si>
    <t>ESPECIALIZAÇÃO EM EDUCAÇÃO INFANTIL E ALFABETIZAÇÃO</t>
  </si>
  <si>
    <t>ESPECIALIZAÇÃO EM EDUCAÇÃO, JOGOS E LUDICIDADE PARA O ENSINO</t>
  </si>
  <si>
    <t>ESPECIALIZAÇÃO EM ENFERMAGEM COM FOCO EM ONCOLOGIA</t>
  </si>
  <si>
    <t>ESPECIALIZAÇÃO EM ENFERMAGEM ONCOLÓGICA</t>
  </si>
  <si>
    <t>ESPECIALIZAÇÃO EM ENGENHARIA AMBIENTAL E SANEAMENTO BÁSICO</t>
  </si>
  <si>
    <t>ESPECIALIZAÇÃO EM ENGENHARIA DE DEVOPS</t>
  </si>
  <si>
    <t>ESPECIALIZAÇÃO EM ENGENHARIA DE OPERAÇÕES E LOGÍSTICAS</t>
  </si>
  <si>
    <t>ESPECIALIZAÇÃO EM ENGENHARIA DE PRODUÇÃO</t>
  </si>
  <si>
    <t>ESPECIALIZAÇÃO EM ENGENHARIA DE PRODUÇÃO E OPERAÇÕES</t>
  </si>
  <si>
    <t>ESPECIALIZAÇÃO EM ENGENHARIA, MEIO AMBIENTE E SANEAMENTO BÁSICO</t>
  </si>
  <si>
    <t>ESPECIALIZAÇÃO EM EPIDEMIOLOGIA E VIGILÂNCIA EM SAÚDE</t>
  </si>
  <si>
    <t>ESPECIALIZAÇÃO EM ESTÉTICA E COSMETOLOGIA</t>
  </si>
  <si>
    <t>ESPECIALIZAÇÃO EM ESTRATÉGIA EM SAÚDE DA FAMÍLIA</t>
  </si>
  <si>
    <t>ESPECIALIZAÇÃO EM FARMÁCIA HOSPITALAR</t>
  </si>
  <si>
    <t>ESPECIALIZAÇÃO EM FARMÁCIA ONCOLÓGICA</t>
  </si>
  <si>
    <t>ESPECIALIZAÇÃO EM FARMACOLOGIA CLÍNICA</t>
  </si>
  <si>
    <t>ESPECIALIZAÇÃO EM FARMACOLOGIA CLÍNICA APLICADA</t>
  </si>
  <si>
    <t>ESPECIALIZAÇÃO EM FARMACOLOGIA HOSPITALAR</t>
  </si>
  <si>
    <t>ESPECIALIZAÇÃO EM FILOSOFIA NA EDUCAÇÃO COM ÊNFASE NO PROCESSO DE FORMAÇÃO ÉTNICO - RACIAL</t>
  </si>
  <si>
    <t>ESPECIALIZAÇÃO EM FINANÇAS CORPORATIVAS</t>
  </si>
  <si>
    <t>ESPECIALIZAÇÃO EM FINANÇAS PARA EMPRESAS</t>
  </si>
  <si>
    <t>ESPECIALIZAÇÃO EM FISIOTERAPIA EM GERIATRIA E GERONTOLOGIA</t>
  </si>
  <si>
    <t>ESPECIALIZAÇÃO EM FISIOTERAPIA EM GERONTOLOGIA E GERIATRIA</t>
  </si>
  <si>
    <t>ESPECIALIZAÇÃO EM FITOTERÁPICOS E SUPLEMENTAÇÃO NUTRICIONAL APLICADA AO ESPORTE</t>
  </si>
  <si>
    <t>ESPECIALIZAÇÃO EM FUNDAMENTOS DA EDUCAÇÃO SOCIAL E ANTROPOLOGIA</t>
  </si>
  <si>
    <t>ESPECIALIZAÇÃO EM GERENCIAMENTO DE PROJETOS DE ARQUITETURA</t>
  </si>
  <si>
    <t>ESPECIALIZAÇÃO EM GERENCIAMENTO DE TI</t>
  </si>
  <si>
    <t>ESPECIALIZAÇÃO EM GESTÃO CONTÁBIL</t>
  </si>
  <si>
    <t>ESPECIALIZAÇÃO EM GESTÃO DA EDUCAÇÃO</t>
  </si>
  <si>
    <t>ESPECIALIZAÇÃO EM GESTÃO DA QUALIDADE E AUDITORIA</t>
  </si>
  <si>
    <t>ESPECIALIZAÇÃO EM GESTÃO DA QUALIDADE E SEGURANÇA ALIMENTAR</t>
  </si>
  <si>
    <t>ESPECIALIZAÇÃO EM GESTÃO DA QUALIDADE E SEGURANÇA DOS ALIMENTOS</t>
  </si>
  <si>
    <t>ESPECIALIZAÇÃO EM GESTÃO DA QUALIDADE EM PROCESSOS, PRODUTOS E SERVIÇOS</t>
  </si>
  <si>
    <t>ESPECIALIZAÇÃO EM GESTÃO DA TECNOLOGIA DA INFORMAÇÃO</t>
  </si>
  <si>
    <t>ESPECIALIZAÇÃO EM GESTÃO DE CONTRATOS PÚBLICOS</t>
  </si>
  <si>
    <t>ESPECIALIZAÇÃO EM GESTÃO DE DEPARTAMENTO PESSOAL</t>
  </si>
  <si>
    <t>ESPECIALIZAÇÃO EM GESTÃO DE PROJETOS COM ÊNFASE NA ARQUITETURA</t>
  </si>
  <si>
    <t>ESPECIALIZAÇÃO EM GESTÃO E DIREITO APLICADO AOS SERVIÇOS DE SAÚDE PÚBLICA</t>
  </si>
  <si>
    <t>ESPECIALIZAÇÃO EM GESTÃO E DIREITO DE SERVIÇOS DE SAÚDE PÚBLICA</t>
  </si>
  <si>
    <t>ESPECIALIZAÇÃO EM GESTÃO EDUCACIONAL</t>
  </si>
  <si>
    <t>ESPECIALIZAÇÃO EM GESTÃO EM ENGENHARIA DE PRODUÇÃO</t>
  </si>
  <si>
    <t>ESPECIALIZAÇÃO EM GESTÃO EM PROCESSOS GERENCIAIS</t>
  </si>
  <si>
    <t>ESPECIALIZAÇÃO EM GESTÃO EM SAÚDE PÚBLICA</t>
  </si>
  <si>
    <t>ESPECIALIZAÇÃO EM GESTÃO ESCOLAR</t>
  </si>
  <si>
    <t>ESPECIALIZAÇÃO EM GESTÃO PEDAGÓGICA NO ENSINO SUPERIOR</t>
  </si>
  <si>
    <t>ESPECIALIZAÇÃO EM INFLUENCIADOR DIGITAL</t>
  </si>
  <si>
    <t>ESPECIALIZAÇÃO EM INOVAÇÃO DE MÍDIAS DIGITAIS</t>
  </si>
  <si>
    <t>ESPECIALIZAÇÃO EM INOVAÇÃO E TRANSFORMAÇÃO DIGITAL</t>
  </si>
  <si>
    <t>ESPECIALIZAÇÃO EM INTELIGÊNCIA E SEGURANÇA PÚBLICA</t>
  </si>
  <si>
    <t>ESPECIALIZAÇÃO EM INTERNET DAS COISAS (IOT): CONEXÃO ENTRE DISPOSITIVOS, MÁQUINAS E PESSOAS</t>
  </si>
  <si>
    <t>ESPECIALIZAÇÃO EM LEGISLAÇÃO ELEITORAL</t>
  </si>
  <si>
    <t>ESPECIALIZAÇÃO EM LÍNGUA PORTUGUESA - REDAÇÃO</t>
  </si>
  <si>
    <t>ESPECIALIZAÇÃO EM LÍNGUA PORTUGUESA: REDAÇÃO E ORATÓRIA</t>
  </si>
  <si>
    <t>ESPECIALIZAÇÃO EM LUDICIDADE APLICADA EM EDUCAÇÃO</t>
  </si>
  <si>
    <t>ESPECIALIZAÇÃO EM MARKETING</t>
  </si>
  <si>
    <t>ESPECIALIZAÇÃO EM MARKETING DIGITAL E MÍDIAS SOCIAIS</t>
  </si>
  <si>
    <t>ESPECIALIZAÇÃO EM MARKETING E MÍDIAS SOCIAIS</t>
  </si>
  <si>
    <t>ESPECIALIZAÇÃO EM MARKETING E PUBLICIDADE</t>
  </si>
  <si>
    <t>ESPECIALIZAÇÃO EM MEDIAÇÃO E GESTÃO DE CONFLITOS ESCOLAR</t>
  </si>
  <si>
    <t>ESPECIALIZAÇÃO EM MENTORIA EM EDUCAÇÃO FINANCEIRA</t>
  </si>
  <si>
    <t>ESPECIALIZAÇÃO EM METODOLOGIA DO ENS. A DISTÂNCIA</t>
  </si>
  <si>
    <t>ESPECIALIZAÇÃO EM METODOLOGIA DO ENSINO DA LÍNGUA PORTUGUESA</t>
  </si>
  <si>
    <t>ESPECIALIZAÇÃO EM METODOLOGIA E DIDÁTICA DO ENSINO DA GEOGRAFIA</t>
  </si>
  <si>
    <t>ESPECIALIZAÇÃO EM METODOLOGIAS ATIVAS</t>
  </si>
  <si>
    <t>ESPECIALIZAÇÃO EM METODOLOGIAS ATIVAS COMO PRÁTICAS INOVADORAS NA EDUCAÇÃO</t>
  </si>
  <si>
    <t>ESPECIALIZAÇÃO EM METODOLOGIAS DA EDUCAÇÃO A DISTÂNCIA</t>
  </si>
  <si>
    <t>ESPECIALIZAÇÃO EM MICROBIOLOGIA E PARASITOLOGIA CLÍNICA</t>
  </si>
  <si>
    <t>ESPECIALIZAÇÃO EM MICROBIOLOGIA, PARASITOLOGIA E MICOLOGIA CLÍNICA</t>
  </si>
  <si>
    <t>ESPECIALIZAÇÃO EM NEUROEDUCAÇÃO</t>
  </si>
  <si>
    <t>ESPECIALIZAÇÃO EM NOVAS MÍDIAS</t>
  </si>
  <si>
    <t>ESPECIALIZAÇÃO EM NUTRIÇÃO CLÍNICA</t>
  </si>
  <si>
    <t>ESPECIALIZAÇÃO EM NUTRIÇÃO E DIETOTERAPIA</t>
  </si>
  <si>
    <t>ESPECIALIZAÇÃO EM NUTRIÇÃO E ESPORTES</t>
  </si>
  <si>
    <t>ESPECIALIZAÇÃO EM NUTRIÇÃO E POLÍTICAS DE NUTRIÇÃO</t>
  </si>
  <si>
    <t>ESPECIALIZAÇÃO EM NUTRIÇÃO E SAÚDE PÚBLICA</t>
  </si>
  <si>
    <t>ESPECIALIZAÇÃO EM NUTRIÇÃO ESPORTIVA</t>
  </si>
  <si>
    <t>ESPECIALIZAÇÃO EM ORIENTAÇÃO E SUPERVISÃO ESCOLAR</t>
  </si>
  <si>
    <t>ESPECIALIZAÇÃO EM PEDAGOGIA EMPRESARIAL</t>
  </si>
  <si>
    <t>ESPECIALIZAÇÃO EM PEDAGOGIA NAS ORGANIZAÇÕES</t>
  </si>
  <si>
    <t>ESPECIALIZAÇÃO EM PLANEJAMENTO E GESTÃO EDUCACIONAL</t>
  </si>
  <si>
    <t>ESPECIALIZAÇÃO EM PODOLOGIA</t>
  </si>
  <si>
    <t>ESPECIALIZAÇÃO EM PODOLOGIA CLÍNICA</t>
  </si>
  <si>
    <t>ESPECIALIZAÇÃO EM PORTUGUÊS JURÍDICO</t>
  </si>
  <si>
    <t>ESPECIALIZAÇÃO EM PRÁTICAS DE LETRAMENTO E ALFABETIZAÇÃO</t>
  </si>
  <si>
    <t>ESPECIALIZAÇÃO EM PRÁTICAS MEDIADORAS DE GESTÃO DE CONFLITOS ESCOLAR</t>
  </si>
  <si>
    <t>ESPECIALIZAÇÃO EM PRESCRIÇÃO DE FITOTERÁPICOS E SUPLEMENTAÇÃO NUTRICIONAL, CLÍNICA E ESPORTIVA</t>
  </si>
  <si>
    <t>ESPECIALIZAÇÃO EM PROCESSOS GERENCIAIS</t>
  </si>
  <si>
    <t>ESPECIALIZAÇÃO EM PROGRAMA NEUROEDUCATIVO</t>
  </si>
  <si>
    <t>ESPECIALIZAÇÃO EM PROJETOS DE DESIGN DE INTERIORES</t>
  </si>
  <si>
    <t>ESPECIALIZAÇÃO EM PROJETOS DE INTERIORES E SUSTENTABILIDADE</t>
  </si>
  <si>
    <t>ESPECIALIZAÇÃO EM PROJETOS DE INTERIORES SUSTENTÁVEIS</t>
  </si>
  <si>
    <t>ESPECIALIZAÇÃO EM PSICOLOGIA CLÍNICA HOSPITALAR</t>
  </si>
  <si>
    <t>ESPECIALIZAÇÃO EM PSICOLOGIA HOSPITALAR</t>
  </si>
  <si>
    <t>ESPECIALIZAÇÃO EM PSICOLOGIA NAS ORGANIZAÇÕES</t>
  </si>
  <si>
    <t>ESPECIALIZAÇÃO EM PSICOLOGIA ORGANIZACIONAL</t>
  </si>
  <si>
    <t>ESPECIALIZAÇÃO EM PSICOPEDAGOGIA COM ÊNFASE EM EDUCAÇÃO ESPECIAL</t>
  </si>
  <si>
    <t>ESPECIALIZAÇÃO EM PSICOPEDAGOGIA EM ÂMBITO HOSPITALAR</t>
  </si>
  <si>
    <t>ESPECIALIZAÇÃO EM PSICOPEDAGOGIA ESCOLAR</t>
  </si>
  <si>
    <t>ESPECIALIZAÇÃO EM PSICOPEDAGOGIA HOSPITALAR</t>
  </si>
  <si>
    <t>ESPECIALIZAÇÃO EM PSICOPEDAGOGIA NA EDUCAÇÃO ESPECIAL</t>
  </si>
  <si>
    <t>ESPECIALIZAÇÃO EM PSICOPEDAGOGIA NA ESCOLA</t>
  </si>
  <si>
    <t>ESPECIALIZAÇÃO EM RECRUTAMENTO TECH</t>
  </si>
  <si>
    <t>ESPECIALIZAÇÃO EM SAÚDE DA FAMÍLIA</t>
  </si>
  <si>
    <t>ESPECIALIZAÇÃO EM SAÚDE DO IDOSO</t>
  </si>
  <si>
    <t>ESPECIALIZAÇÃO EM SAÚDE DO TRABALHADOR</t>
  </si>
  <si>
    <t>ESPECIALIZAÇÃO EM SAÚDE E SEGURANÇA DO TRABALHADOR</t>
  </si>
  <si>
    <t>ESPECIALIZAÇÃO EM SAÚDE GERIÁTRICA</t>
  </si>
  <si>
    <t>ESPECIALIZAÇÃO EM SAÚDE PÚBLICA</t>
  </si>
  <si>
    <t>ESPECIALIZAÇÃO EM SAÚDE PÚBLICA E COLETIVA</t>
  </si>
  <si>
    <t>ESPECIALIZAÇÃO EM SEGURANÇA CIBERNÉTICA</t>
  </si>
  <si>
    <t>ESPECIALIZAÇÃO EM SEGURANÇA DIGITAL</t>
  </si>
  <si>
    <t>ESPECIALIZAÇÃO EM SEGURANÇA PÚBLICA</t>
  </si>
  <si>
    <t>ESPECIALIZAÇÃO EM SISTEMAS DE INFORMAÇÃO</t>
  </si>
  <si>
    <t>ESPECIALIZAÇÃO EM SISTEMAS INFORMÁTICOS</t>
  </si>
  <si>
    <t>ESPECIALIZAÇÃO EM SUPERVISÃO ESCOLAR E ORIENTAÇÃO</t>
  </si>
  <si>
    <t>ESPECIALIZAÇÃO EM TECH RECRUITER</t>
  </si>
  <si>
    <t>ESPECIALIZAÇÃO EM TESTES ÁGEIS DE SOFTWARE</t>
  </si>
  <si>
    <t>ESPECIALIZAÇÃO EM TESTES DE SOFTWARE ÁGIL</t>
  </si>
  <si>
    <t>ESPECIALIZAÇÃO EM TRANSFORMAÇÃO DIGITAL E CULTURA DIGITAL NAS ORGANIZAÇÕES</t>
  </si>
  <si>
    <t>ESPECIALIZAÇÃO EM USER EXPERIENCE DESIGN</t>
  </si>
  <si>
    <t>ESPECIALIZAÇÃO EM UX DESIGN</t>
  </si>
  <si>
    <t>ESPECIALIZAÇÃO EM VIGILÂNCIA EM SAÚDE E EPIDEMIOLOGIA</t>
  </si>
  <si>
    <t>ESPECIALIZAÇÃO NA EDUCAÇÃO COM ÊNFASE NO PROCESSO DE FORMAÇÃO ÉTNICO - RACIAL</t>
  </si>
  <si>
    <t>MBA EM ADMINISTRAÇÃO PÚBLICA</t>
  </si>
  <si>
    <t>MBA EM AUDITORIA E CONTROLADORIA</t>
  </si>
  <si>
    <t>MBA EM AUDITORIA EM SAÚDE</t>
  </si>
  <si>
    <t>MBA EM AUDITORIA EM SERVIÇOS DE SAÚDE</t>
  </si>
  <si>
    <t>MBA EM COACHING</t>
  </si>
  <si>
    <t>MBA EM COACHING E GESTÃO DE PESSOAS</t>
  </si>
  <si>
    <t>MBA EM COACHING E GESTÃO DE TALENTOS</t>
  </si>
  <si>
    <t>MBA EM COMPLIANCE DIGITAL E PROTEÇÃO DE DADOS</t>
  </si>
  <si>
    <t>MBA EM CONTABILIDADE EMPRESARIAL</t>
  </si>
  <si>
    <t>MBA EM CONTABILIDADE NAS EMPRESAS</t>
  </si>
  <si>
    <t>MBA EM CONTABILIDADE, AUDITORIA E CONTROLADORIA</t>
  </si>
  <si>
    <t>MBA EM DATA PROTECTION OFFICER</t>
  </si>
  <si>
    <t>MBA EM EMPREENDEDORISMO</t>
  </si>
  <si>
    <t>MBA EM GERENCIAMENTO DE PROJETOS</t>
  </si>
  <si>
    <t>MBA EM GESTÃO 4.0: TRANSFORMAÇÃO DIGITAL E AUTOMAÇÃO DE PROCESSOS</t>
  </si>
  <si>
    <t>MBA EM GESTÃO COMERCIAL E MARKETING</t>
  </si>
  <si>
    <t>MBA EM GESTÃO DA QUALIDADE E GESTÃO AMBIENTAL</t>
  </si>
  <si>
    <t>MBA EM GESTÃO DE EMPRESAS</t>
  </si>
  <si>
    <t>MBA EM GESTÃO DE NEGÓCIOS DISRUPTIVOS E EXPERIÊNCIA EMPRESARIAL</t>
  </si>
  <si>
    <t>MBA EM GESTÃO DE NEGÓCIOS EM SERVIÇOS DE ALIMENTAÇÃO</t>
  </si>
  <si>
    <t>MBA EM GESTÃO DE NEGÓCIOS PARA GASTRONOMIA</t>
  </si>
  <si>
    <t>MBA EM GESTÃO DE PESSOAS</t>
  </si>
  <si>
    <t>MBA EM GESTÃO DE PESSOAS E RELAÇÕES TRABALHISTAS</t>
  </si>
  <si>
    <t>MBA EM GESTÃO DE PROJETOS</t>
  </si>
  <si>
    <t>MBA EM GESTÃO DE RELAÇÕES TRABALHISTAS</t>
  </si>
  <si>
    <t>MBA EM GESTÃO DE TECNOLOGIAS DISRUPTIVAS E AUTOMAÇÃO DE PROCESSOS</t>
  </si>
  <si>
    <t>MBA EM GESTÃO E CONSULTORIA EMPRESARIAL</t>
  </si>
  <si>
    <t>MBA EM GESTÃO E CONSULTORIA ORGANIZACIONAL</t>
  </si>
  <si>
    <t>MBA EM GESTÃO EM UNIDADES HOSPITALARES</t>
  </si>
  <si>
    <t>MBA EM GESTÃO EMPREENDEDORA</t>
  </si>
  <si>
    <t>MBA EM GESTÃO EMPRESARIAL</t>
  </si>
  <si>
    <t>MBA EM GESTÃO HOSPITALAR</t>
  </si>
  <si>
    <t>MBA EM GESTÃO PÚBLICA</t>
  </si>
  <si>
    <t>MBA EM GESTÃO TECNOLÓGICA BIG DATA E INTELIGÊNCIA ARTIFICIAL</t>
  </si>
  <si>
    <t>MBA EM GOVERNANÇA CORPORATIVA</t>
  </si>
  <si>
    <t>MBA EM GOVERNANÇA EMPRESARIAL</t>
  </si>
  <si>
    <t>MBA EM LGPD E COMPLIANCE DIGITAL</t>
  </si>
  <si>
    <t>MBA EM LIDERANÇA E COACHING</t>
  </si>
  <si>
    <t>MBA EM LOGÍSTICA EMPRESARIAL</t>
  </si>
  <si>
    <t>MBA EM LOGÍSTICA NAS ORGANIZAÇÕES</t>
  </si>
  <si>
    <t>MBA EM MARKETING E VENDAS</t>
  </si>
  <si>
    <t>MBA EM MEIO AMBIENTE E GESTÃO DA QUALIDADE</t>
  </si>
  <si>
    <t>MBA EM NEGÓCIOS DISRUPTIVOS E BUSINESS EXPERIENCE</t>
  </si>
  <si>
    <t>MBA EM RECURSOS HUMANOS</t>
  </si>
  <si>
    <t>MBA EM SAÚDE 5.0: INOVAÇÃO EM SAÚDE</t>
  </si>
  <si>
    <t>MBA EM SAÚDE 5.0: TECNOLOGIA EM SAÚDE</t>
  </si>
  <si>
    <t>MBA EM TECNOLOGIAS PARA GESTÃO: BIG DATA E INTELIGÊNCIA ARTIFICIAL</t>
  </si>
  <si>
    <t>UNIFAEL.</t>
  </si>
  <si>
    <t>UNAMA.</t>
  </si>
  <si>
    <t>ESPECIALIZAÇÃO EM AVALIAÇÃO E DIAGNÓSTICO PSICOLÓGICO</t>
  </si>
  <si>
    <t>UNG.</t>
  </si>
  <si>
    <t>ESPECIALIZAÇÃO EM BANCO DE DADOS ORACLE</t>
  </si>
  <si>
    <t>UNINASSAU.</t>
  </si>
  <si>
    <t>ESPECIALIZAÇÃO EM BIM APLICADA À CONSTRUÇÃO CIVIL</t>
  </si>
  <si>
    <t>ESPECIALIZAÇÃO EM BIOINFORMÁTICA APLICADA À SAÚDE</t>
  </si>
  <si>
    <t>ESPECIALIZAÇÃO EM CIÊNCIAS CRIMINAIS</t>
  </si>
  <si>
    <t>ESPECIALIZAÇÃO EM COACHING E DESENVOLVIMENTO DE LIDERANÇAS</t>
  </si>
  <si>
    <t>ESPECIALIZAÇÃO EM FARMÁCIA CLÍNICA E ATENÇÃO FARMACÊUTICA</t>
  </si>
  <si>
    <t>ESPECIALIZAÇÃO EM COMERCIALIZAÇÃO DE ENERGIA ELÉTRICA</t>
  </si>
  <si>
    <t>ESPECIALIZAÇÃO EM DEPENDÊNCIAS E COMPORTAMENTOS ADICTIVOS</t>
  </si>
  <si>
    <t>ESPECIALIZAÇÃO EM DIREITO DIGITAL, INOVAÇÃO E STARTUPS</t>
  </si>
  <si>
    <t>ESPECIALIZAÇÃO EM ENFERMAGEM EM UNIDADE DE TERAPIA INTENSIVA</t>
  </si>
  <si>
    <t>ESPECIALIZAÇÃO EM DIREITO DO TRABALHO E PREVIDENCIÁRIO</t>
  </si>
  <si>
    <t>ESPECIALIZAÇÃO EM FISIOTERAPIA TRAUMATO-ORTOPÉDICA E DESPORTIVA</t>
  </si>
  <si>
    <t>ESPECIALIZAÇÃO EM DIREITO EMPRESARIAL</t>
  </si>
  <si>
    <t>ESPECIALIZAÇÃO EM DIREITO IMOBILIÁRIO</t>
  </si>
  <si>
    <t>ESPECIALIZAÇÃO EM PSICOLOGIA ORGANIZACIONAL E DO TRABALHO</t>
  </si>
  <si>
    <t>ESPECIALIZAÇÃO EM DIREITO LICITATÓRIO E CONTRATAÇÕES PÚBLICAS</t>
  </si>
  <si>
    <t>ESPECIALIZAÇÃO EM SAÚDE MENTAL E TERAPIAS COGNITIVAS</t>
  </si>
  <si>
    <t>ESPECIALIZAÇÃO EM SAÚDE PÚBLICA COM ÊNFASE EM ATENÇÃO BÁSICA</t>
  </si>
  <si>
    <t>ESPECIALIZAÇÃO EM DIREITO PENAL E PROCESSO PENAL</t>
  </si>
  <si>
    <t>MBA EM GESTÃO HOSPITALAR E SISTEMAS DE SAÚDE</t>
  </si>
  <si>
    <t>ESPECIALIZAÇÃO EM DIREITO PROCESSUAL: ADMIN., CONSTITUCIONAL, CIVIL, PENAL, TRABALHISTA E TRIBUTÁRIO</t>
  </si>
  <si>
    <t>MBA EM EMPREENDEDORISMO E GESTÃO DE NEGÓCIOS</t>
  </si>
  <si>
    <t>ESPECIALIZAÇÃO EM DIREITO PÚBLICO COM ÊNFASE EM CONSTITUCIONAL E ADMINISTRATIVO</t>
  </si>
  <si>
    <t>ESPECIALIZAÇÃO EM DIREITO PÚBLICO: CONSTITUCIONAL, ADMINISTRATIVO E TRIBUTÁRIO</t>
  </si>
  <si>
    <t>ESPECIALIZAÇÃO EM DIREITO TRIBUTÁRIO</t>
  </si>
  <si>
    <t>ESPECIALIZAÇÃO EM EDUCAÇÃO ANTIRRACISTA E ESTUDOS ÉTNICO-RACIAIS</t>
  </si>
  <si>
    <t>ESPECIALIZAÇÃO EM GESTÃO DE DEPARTAMENTO PESSOAL E LEGISLAÇÃO TRABALHISTA</t>
  </si>
  <si>
    <t>ESPECIALIZAÇÃO EM EDUCAÇÃO E INOVAÇÕES TECNOLÓGICAS</t>
  </si>
  <si>
    <t>ESPECIALIZAÇÃO EM LIBRAS, SAÚDE E EDUCAÇÃO ESPECIAL E INCLUSIVA</t>
  </si>
  <si>
    <t>ESPECIALIZAÇÃO EM ENFERMAGEM EM URGÊNCIA E EMERGÊNCIA</t>
  </si>
  <si>
    <t>MBA EM GESTÃO TRIBUTÁRIA</t>
  </si>
  <si>
    <t>ESPECIALIZAÇÃO EM ENFERMAGEM DO TRABALHO</t>
  </si>
  <si>
    <t>ESPECIALIZAÇÃO EM PSICOPEDAGOGIA CLÍNICA, INSTITUCIONAL E HOSPITALAR</t>
  </si>
  <si>
    <t>ESPECIALIZAÇÃO EM ENFERMAGEM EM SAÚDE DA MULHER</t>
  </si>
  <si>
    <t>ESPECIALIZAÇÃO EM GESTÃO TRIBUTÁRIA, TRABALHISTA E PREVIDENCIÁRIA</t>
  </si>
  <si>
    <t>MBA EM GESTÃO DA QUALIDADE EM SAÚDE</t>
  </si>
  <si>
    <t>ESPECIALIZAÇÃO EM REMUNERAÇÃO ESTRATÉGICA</t>
  </si>
  <si>
    <t>ESPECIALIZAÇÃO EM ENGENHARIA DA MANUTENÇÃO</t>
  </si>
  <si>
    <t>ESPECIALIZAÇÃO EM ENGENHARIA DE SEGURANÇA DO TRABALHO</t>
  </si>
  <si>
    <t>MBA EM GESTÃO DE RISCOS, COMPLIANCE E LGPD</t>
  </si>
  <si>
    <t>ESPECIALIZAÇÃO EM ENGENHARIA LEGAL E DIAGNÓSTICA PARA ENGENHEIROS E ARQUITETOS</t>
  </si>
  <si>
    <t>MBA EM INOVAÇÃO, DESIGN E ESTRATÉGIA</t>
  </si>
  <si>
    <t>ESPECIALIZAÇÃO EM ESTUDOS FORENSE E CRIMINAL APLICADOS</t>
  </si>
  <si>
    <t>MBA EM GESTÃO EXECUTIVA DE VENDAS 5.0</t>
  </si>
  <si>
    <t>MBA EM INDÚSTRIA 5.0</t>
  </si>
  <si>
    <t>ESPECIALIZAÇÃO EM FISIOLOGIA, CINESIOLOGIA E BIOMECÂNICA APLICADAS AO EXERCÍCIO</t>
  </si>
  <si>
    <t>ESPECIALIZAÇÃO EM FISIOTERAPIA DERMATOFUNCIONAL</t>
  </si>
  <si>
    <t>ESPECIALIZAÇÃO EM FISIOTERAPIA EM UNIDADE DE TERAPIA INTENSIVA</t>
  </si>
  <si>
    <t>ESPECIALIZAÇÃO EM FONOAUDIOLOGIA HOSPITALAR</t>
  </si>
  <si>
    <t>ESPECIALIZAÇÃO EM NEUROCIÊNCIAS E COMPORTAMENTO HUMANO</t>
  </si>
  <si>
    <t>ESPECIALIZAÇÃO EM SEXOLOGIA E SEXUALIDADE HUMANA</t>
  </si>
  <si>
    <t>ESPECIALIZAÇÃO EM GESTÃO DE EXPERIÊNCIA DO CLIENTE EM SERVIÇOS DE SAÚDE</t>
  </si>
  <si>
    <t>ESPECIALIZAÇÃO EM SEGURANÇA DA INFORMAÇÃO</t>
  </si>
  <si>
    <t>ESPECIALIZAÇÃO EM TESTE E QUALIDADE DE SOFTWARE</t>
  </si>
  <si>
    <t>ESPECIALIZAÇÃO EM IMAGINOLOGIA COM ÊNFASE EM TOMOGRAFIA COMPUTADORIZADA E RESSONÂNCIA MAGNÉTICA</t>
  </si>
  <si>
    <t>ESPECIALIZAÇÃO EM INTELIGÊNCIA ARTIFICIAL (I.A) E MACHINE LEARNING</t>
  </si>
  <si>
    <t>ESPECIALIZAÇÃO EM INTELIGÊNCIA DE DADOS PARA NEGÓCIOS</t>
  </si>
  <si>
    <t>ESPECIALIZAÇÃO EM JOGOS DIGITAIS</t>
  </si>
  <si>
    <t>ESPECIALIZAÇÃO EM LINGUÍSTICA E ENSINO DA LÍNGUA PORTUGUESA</t>
  </si>
  <si>
    <t>ESPECIALIZAÇÃO EM NEUROMARKETING &amp; CIÊNCIA DO CONSUMO</t>
  </si>
  <si>
    <t>ESPECIALIZAÇÃO EM MARKETING ESTRATÉGICO EM MÍDIAS E NEGÓCIOS DIGITAIS</t>
  </si>
  <si>
    <t>ESPECIALIZAÇÃO EM TEA – TRANSTORNO DO ESPECTRO AUTISTA</t>
  </si>
  <si>
    <t>ESPECIALIZAÇÃO EM MEDICAL SCIENCE LIAISON</t>
  </si>
  <si>
    <t>ESPECIALIZAÇÃO EM MEDICINA DO TRABALHO</t>
  </si>
  <si>
    <t>ESPECIALIZAÇÃO EM VIOLÊNCIA DE GÊNERO DIREITO, SAÚDE E DIVERSIDADE</t>
  </si>
  <si>
    <t>ESPECIALIZAÇÃO EM MEDICINA ENDOCANABINÓIDE</t>
  </si>
  <si>
    <t>MBA EM FINANÇAS CORPORATIVAS</t>
  </si>
  <si>
    <t>MBA EM ENGENHARIA DE SOFTWARE</t>
  </si>
  <si>
    <t>ESPECIALIZAÇÃO EM SOLUÇÃO DE CONFLITOS: MEDIAÇÃO E ARBITRAGEM</t>
  </si>
  <si>
    <t>ESPECIALIZAÇÃO EM NUTRIÇÃO EM SAÚDE DA MULHER E FITOTERAPIA</t>
  </si>
  <si>
    <t>ESPECIALIZAÇÃO EM PRESCRIÇÃO FARMACÊUTICA</t>
  </si>
  <si>
    <t>ESPECIALIZAÇÃO EM PSICOLOGIA DA INFÂNCIA E ADOLESCÊNCIA</t>
  </si>
  <si>
    <t>MBA EM ESG: RESPONSABILIDADE SOCIAL, AMBIENTAL E GOVERNANÇA CORPORATIVA</t>
  </si>
  <si>
    <t>ESPECIALIZAÇÃO EM PSICOMOTRICIDADE INSTITUCIONAL E CLÍNICA</t>
  </si>
  <si>
    <t>ESPECIALIZAÇÃO MULTIPROFISSIONAL EM ONCOLOGIA</t>
  </si>
  <si>
    <t>ESPECIALIZAÇÃO EM UX/UI DESIGN</t>
  </si>
  <si>
    <t>ESPECIALIZAÇÃO EM SAFETY EM AVIAÇÃO</t>
  </si>
  <si>
    <t>ESPECIALIZAÇÃO EM TERAPIAS COGNITIVO-COMPORTAMENTAIS</t>
  </si>
  <si>
    <t>MBA EM ENGENHARIA DA PRODUÇÃO, QUALIDADE E COMPETITIVIDADE</t>
  </si>
  <si>
    <t>MBA EM GESTÃO DE ALTA PERFORMANCE</t>
  </si>
  <si>
    <t>LLM EM DIREITO MÉDICO E DA SAÚDE</t>
  </si>
  <si>
    <t>PÓS GRADUAÇÃO EAD ➜ DIGITAL</t>
  </si>
  <si>
    <t>PÓS GRADUAÇÃO EAD ➜ AO VIVO</t>
  </si>
  <si>
    <t>MBA EM DATA SCIENCE, ANALYTICS e BI</t>
  </si>
  <si>
    <t>MBA EM GESTÃO DE PROCESSOS – BUSINESS PROCESS MANAGEMENT</t>
  </si>
  <si>
    <t>ESPECIALIZAÇÃO EM DIREITO DE FAMÍLIA E SUCESSÕES</t>
  </si>
  <si>
    <t>ESPECIALIZAÇÃO EM NUTROLOGIA</t>
  </si>
  <si>
    <t>ESPECIALIZAÇÃO EM PERÍCIAS MÉDICAS</t>
  </si>
  <si>
    <t>ESPECIALIZAÇÃO EM PSIQUIATRIA</t>
  </si>
  <si>
    <t>PARCELA MATRICULA PAGA</t>
  </si>
  <si>
    <t>PARCELA MATRICULA NÃO PAGA</t>
  </si>
  <si>
    <t>Paga</t>
  </si>
  <si>
    <t>%  SGP2</t>
  </si>
  <si>
    <t>$ SGP2</t>
  </si>
  <si>
    <t>PARCELA MATRICULA NÃO PAGA2</t>
  </si>
  <si>
    <t>%  SITE 2</t>
  </si>
  <si>
    <t>$ NORMAL 2</t>
  </si>
  <si>
    <t>$ SITE 2</t>
  </si>
  <si>
    <t>Nº Parcelas 22</t>
  </si>
  <si>
    <t>Nº Parcelas normal2</t>
  </si>
  <si>
    <t>ESPECIALIZAÇÃO EM IoT: INTERAÇÃO ENTRE DISPOSITIVOS, MÁQUINAS E PESSOAS</t>
  </si>
  <si>
    <t>▶ Dezembro 2024 - CAMPANHA REGULAR</t>
  </si>
  <si>
    <t>Versão 1
29-11-2024</t>
  </si>
  <si>
    <t>ESPECIALIZAÇÃO EM COMUNICAÇÃO CORPORATIVA E GESTÃO DE CRISES</t>
  </si>
  <si>
    <t>ESPECIALIZAÇÃO EM ENSINO DE CIÊNCIAS NATURAIS E SUAS TECNOLOGIAS</t>
  </si>
  <si>
    <t>ESPECIALIZAÇÃO EM ABA - APPLIED BEHAVIOR ANALYSIS - ANÁLISE DO COMPORTAMENTO APLICADO</t>
  </si>
  <si>
    <t>ESPECIALIZAÇÃO EM EDUCAÇÃO FÍSICA ESCOLAR</t>
  </si>
  <si>
    <t>ESPECIALIZAÇÃO EM EDUCAÇÃO EM RELAÇÕES DE GÊNERO, INTERSECCIONALIDADE E DIVERSIDADE</t>
  </si>
  <si>
    <t>MBA EM INTELIGÊNCIA ARTIFICIAL PARA GESTORES</t>
  </si>
  <si>
    <t>APENAS POLOS PRÓPRIOS</t>
  </si>
  <si>
    <t>Nº Parcelas 2</t>
  </si>
  <si>
    <t xml:space="preserve">Paga </t>
  </si>
  <si>
    <t>Não Paga</t>
  </si>
  <si>
    <t>Sem Desconto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</si>
</sst>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0.0%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24"/>
      <color theme="0"/>
      <name val="Segoe UI"/>
      <family val="2"/>
    </font>
    <font>
      <b/>
      <sz val="14"/>
      <color theme="0"/>
      <name val="Segoe UI"/>
      <family val="2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Segoe UI"/>
      <family val="2"/>
    </font>
    <font>
      <sz val="12"/>
      <name val="Aptos Narrow"/>
      <family val="2"/>
      <scheme val="minor"/>
    </font>
    <font>
      <b/>
      <sz val="11"/>
      <color theme="1"/>
      <name val="Segoe UI"/>
      <family val="2"/>
    </font>
    <font>
      <sz val="10"/>
      <color rgb="FFFF0000"/>
      <name val="Aptos Narrow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b/>
      <sz val="12"/>
      <color rgb="FFFFFF00"/>
      <name val="Segoe UI"/>
      <family val="2"/>
    </font>
    <font>
      <b/>
      <sz val="14"/>
      <color rgb="FFFFFF00"/>
      <name val="Segoe UI"/>
      <family val="2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0"/>
      <name val="Segoe UI"/>
      <family val="2"/>
    </font>
    <font>
      <sz val="9"/>
      <color theme="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3F2A15"/>
      </left>
      <right/>
      <top/>
      <bottom/>
      <diagonal/>
    </border>
    <border>
      <left/>
      <right style="medium">
        <color rgb="FF3F2A15"/>
      </right>
      <top/>
      <bottom/>
      <diagonal/>
    </border>
    <border>
      <left style="medium">
        <color rgb="FF3F2A15"/>
      </left>
      <right/>
      <top/>
      <bottom style="medium">
        <color rgb="FF3F2A15"/>
      </bottom>
      <diagonal/>
    </border>
    <border>
      <left/>
      <right/>
      <top/>
      <bottom style="medium">
        <color rgb="FF3F2A15"/>
      </bottom>
      <diagonal/>
    </border>
    <border>
      <left/>
      <right style="medium">
        <color rgb="FF3F2A15"/>
      </right>
      <top/>
      <bottom style="medium">
        <color rgb="FF3F2A15"/>
      </bottom>
      <diagonal/>
    </border>
    <border>
      <left/>
      <right/>
      <top/>
      <bottom style="hair">
        <color rgb="FF3F2A15"/>
      </bottom>
      <diagonal/>
    </border>
    <border>
      <left style="hair">
        <color rgb="FF3F2A15"/>
      </left>
      <right style="hair">
        <color rgb="FF3F2A15"/>
      </right>
      <top style="hair">
        <color rgb="FF3F2A15"/>
      </top>
      <bottom style="hair">
        <color rgb="FF3F2A15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14548173467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7" fillId="2" borderId="0" xfId="0" applyFont="1" applyFill="1"/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3" fontId="0" fillId="3" borderId="0" xfId="1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vertical="center"/>
    </xf>
    <xf numFmtId="164" fontId="8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3" xfId="0" applyFill="1" applyBorder="1"/>
    <xf numFmtId="0" fontId="0" fillId="3" borderId="0" xfId="0" applyFill="1" applyAlignment="1">
      <alignment horizontal="center" wrapText="1"/>
    </xf>
    <xf numFmtId="0" fontId="0" fillId="3" borderId="3" xfId="0" applyFill="1" applyBorder="1" applyAlignment="1">
      <alignment wrapText="1"/>
    </xf>
    <xf numFmtId="0" fontId="8" fillId="3" borderId="0" xfId="0" applyFont="1" applyFill="1"/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vertical="top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0" fillId="3" borderId="3" xfId="0" applyFill="1" applyBorder="1" applyAlignment="1">
      <alignment vertical="center"/>
    </xf>
    <xf numFmtId="0" fontId="2" fillId="3" borderId="0" xfId="0" applyFont="1" applyFill="1"/>
    <xf numFmtId="0" fontId="4" fillId="3" borderId="0" xfId="0" applyFont="1" applyFill="1"/>
    <xf numFmtId="0" fontId="4" fillId="3" borderId="3" xfId="0" applyFont="1" applyFill="1" applyBorder="1"/>
    <xf numFmtId="0" fontId="8" fillId="3" borderId="0" xfId="0" applyFont="1" applyFill="1" applyAlignment="1">
      <alignment vertic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3" fontId="0" fillId="2" borderId="7" xfId="1" applyNumberFormat="1" applyFont="1" applyFill="1" applyBorder="1" applyAlignment="1">
      <alignment horizontal="left" indent="1"/>
    </xf>
    <xf numFmtId="3" fontId="8" fillId="2" borderId="7" xfId="1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9" fontId="8" fillId="2" borderId="8" xfId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6"/>
    </xf>
    <xf numFmtId="0" fontId="0" fillId="7" borderId="2" xfId="0" applyFill="1" applyBorder="1" applyAlignment="1">
      <alignment wrapText="1"/>
    </xf>
    <xf numFmtId="0" fontId="0" fillId="7" borderId="2" xfId="0" applyFill="1" applyBorder="1"/>
    <xf numFmtId="0" fontId="0" fillId="7" borderId="2" xfId="0" applyFill="1" applyBorder="1" applyAlignment="1">
      <alignment vertical="center"/>
    </xf>
    <xf numFmtId="0" fontId="4" fillId="7" borderId="2" xfId="0" applyFont="1" applyFill="1" applyBorder="1"/>
    <xf numFmtId="0" fontId="4" fillId="7" borderId="2" xfId="0" applyFont="1" applyFill="1" applyBorder="1" applyAlignment="1">
      <alignment vertical="center"/>
    </xf>
    <xf numFmtId="3" fontId="8" fillId="2" borderId="8" xfId="1" applyNumberFormat="1" applyFont="1" applyFill="1" applyBorder="1" applyAlignment="1">
      <alignment horizontal="left" vertical="center" indent="7"/>
    </xf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>
      <alignment vertical="center" wrapText="1"/>
    </xf>
    <xf numFmtId="3" fontId="17" fillId="2" borderId="0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3" fontId="17" fillId="2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9" fontId="8" fillId="2" borderId="0" xfId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9" fontId="8" fillId="2" borderId="0" xfId="1" applyFont="1" applyFill="1" applyBorder="1" applyAlignment="1">
      <alignment vertical="center"/>
    </xf>
    <xf numFmtId="1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23" fillId="2" borderId="0" xfId="0" applyFont="1" applyFill="1"/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9" fontId="23" fillId="2" borderId="0" xfId="1" applyFont="1" applyFill="1" applyBorder="1" applyAlignment="1">
      <alignment vertical="center"/>
    </xf>
    <xf numFmtId="9" fontId="24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" fontId="8" fillId="2" borderId="0" xfId="0" applyNumberFormat="1" applyFont="1" applyFill="1" applyAlignment="1">
      <alignment horizontal="center" vertical="center" wrapText="1"/>
    </xf>
    <xf numFmtId="9" fontId="8" fillId="2" borderId="0" xfId="1" applyFont="1" applyFill="1" applyBorder="1" applyAlignment="1">
      <alignment horizontal="center" vertical="center" wrapText="1"/>
    </xf>
    <xf numFmtId="9" fontId="25" fillId="2" borderId="0" xfId="1" applyFont="1" applyFill="1" applyBorder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 wrapText="1"/>
    </xf>
    <xf numFmtId="164" fontId="25" fillId="2" borderId="0" xfId="0" applyNumberFormat="1" applyFont="1" applyFill="1" applyAlignment="1">
      <alignment horizontal="center" vertical="center" wrapText="1"/>
    </xf>
    <xf numFmtId="9" fontId="25" fillId="2" borderId="0" xfId="1" applyFont="1" applyFill="1" applyBorder="1" applyAlignment="1">
      <alignment horizontal="center" vertical="center" wrapText="1"/>
    </xf>
    <xf numFmtId="164" fontId="25" fillId="2" borderId="0" xfId="1" applyNumberFormat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vertical="center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right"/>
    </xf>
    <xf numFmtId="1" fontId="8" fillId="2" borderId="0" xfId="1" applyNumberFormat="1" applyFont="1" applyFill="1" applyBorder="1" applyAlignment="1">
      <alignment vertical="center"/>
    </xf>
    <xf numFmtId="0" fontId="27" fillId="2" borderId="0" xfId="0" applyFont="1" applyFill="1"/>
    <xf numFmtId="0" fontId="2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2" borderId="0" xfId="1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9" fontId="23" fillId="2" borderId="0" xfId="1" applyFont="1" applyFill="1" applyBorder="1" applyAlignment="1">
      <alignment horizontal="center" vertical="center"/>
    </xf>
    <xf numFmtId="9" fontId="8" fillId="2" borderId="0" xfId="1" applyFont="1" applyFill="1" applyBorder="1" applyAlignment="1">
      <alignment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 wrapText="1"/>
    </xf>
    <xf numFmtId="165" fontId="10" fillId="2" borderId="14" xfId="0" applyNumberFormat="1" applyFont="1" applyFill="1" applyBorder="1" applyAlignment="1">
      <alignment horizontal="right" vertical="center"/>
    </xf>
    <xf numFmtId="165" fontId="10" fillId="2" borderId="15" xfId="0" applyNumberFormat="1" applyFont="1" applyFill="1" applyBorder="1" applyAlignment="1">
      <alignment horizontal="right" vertical="center"/>
    </xf>
    <xf numFmtId="0" fontId="0" fillId="0" borderId="16" xfId="0" applyBorder="1"/>
    <xf numFmtId="0" fontId="10" fillId="5" borderId="17" xfId="0" applyFont="1" applyFill="1" applyBorder="1" applyAlignment="1">
      <alignment vertical="center" wrapText="1"/>
    </xf>
    <xf numFmtId="9" fontId="8" fillId="2" borderId="0" xfId="1" applyFont="1" applyFill="1" applyAlignment="1">
      <alignment vertical="center"/>
    </xf>
    <xf numFmtId="9" fontId="8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1" fontId="23" fillId="2" borderId="0" xfId="1" applyNumberFormat="1" applyFont="1" applyFill="1" applyBorder="1" applyAlignment="1">
      <alignment horizontal="left" vertical="center"/>
    </xf>
    <xf numFmtId="9" fontId="23" fillId="2" borderId="0" xfId="1" applyFont="1" applyFill="1" applyBorder="1" applyAlignment="1">
      <alignment horizontal="left" vertical="center"/>
    </xf>
    <xf numFmtId="164" fontId="23" fillId="2" borderId="0" xfId="0" applyNumberFormat="1" applyFont="1" applyFill="1" applyAlignment="1">
      <alignment horizontal="left" vertical="center"/>
    </xf>
    <xf numFmtId="1" fontId="24" fillId="2" borderId="0" xfId="0" applyNumberFormat="1" applyFont="1" applyFill="1" applyAlignment="1">
      <alignment horizontal="center" vertical="center"/>
    </xf>
    <xf numFmtId="1" fontId="24" fillId="2" borderId="0" xfId="1" applyNumberFormat="1" applyFont="1" applyFill="1" applyBorder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horizontal="left" vertical="center" wrapText="1"/>
    </xf>
    <xf numFmtId="9" fontId="8" fillId="2" borderId="0" xfId="1" applyFont="1" applyFill="1" applyBorder="1" applyAlignment="1">
      <alignment horizontal="left" vertical="center" wrapText="1"/>
    </xf>
    <xf numFmtId="1" fontId="8" fillId="2" borderId="0" xfId="0" applyNumberFormat="1" applyFont="1" applyFill="1" applyAlignment="1">
      <alignment vertical="center" wrapText="1"/>
    </xf>
    <xf numFmtId="1" fontId="25" fillId="2" borderId="0" xfId="1" applyNumberFormat="1" applyFont="1" applyFill="1" applyBorder="1" applyAlignment="1">
      <alignment vertical="center" wrapText="1"/>
    </xf>
    <xf numFmtId="164" fontId="25" fillId="2" borderId="0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26" fillId="4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" fontId="8" fillId="2" borderId="0" xfId="1" applyNumberFormat="1" applyFont="1" applyFill="1" applyBorder="1" applyAlignment="1">
      <alignment horizontal="left" vertical="center" indent="6"/>
    </xf>
    <xf numFmtId="3" fontId="8" fillId="0" borderId="0" xfId="1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164" fontId="8" fillId="0" borderId="0" xfId="0" applyNumberFormat="1" applyFont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23" fillId="2" borderId="0" xfId="1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9" fontId="8" fillId="2" borderId="0" xfId="0" applyNumberFormat="1" applyFont="1" applyFill="1" applyAlignment="1">
      <alignment vertical="center"/>
    </xf>
    <xf numFmtId="0" fontId="0" fillId="8" borderId="16" xfId="0" applyFill="1" applyBorder="1"/>
    <xf numFmtId="0" fontId="22" fillId="7" borderId="2" xfId="0" applyFont="1" applyFill="1" applyBorder="1" applyAlignment="1">
      <alignment horizontal="center" wrapText="1"/>
    </xf>
    <xf numFmtId="0" fontId="22" fillId="7" borderId="4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9" fontId="23" fillId="2" borderId="0" xfId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5" fillId="7" borderId="9" xfId="0" applyFont="1" applyFill="1" applyBorder="1" applyAlignment="1">
      <alignment horizontal="left" vertical="top" wrapText="1" indent="8"/>
    </xf>
    <xf numFmtId="0" fontId="5" fillId="7" borderId="10" xfId="0" applyFont="1" applyFill="1" applyBorder="1" applyAlignment="1">
      <alignment horizontal="left" vertical="top" wrapText="1" indent="8"/>
    </xf>
    <xf numFmtId="0" fontId="5" fillId="7" borderId="11" xfId="0" applyFont="1" applyFill="1" applyBorder="1" applyAlignment="1">
      <alignment horizontal="left" vertical="top" wrapText="1" indent="8"/>
    </xf>
    <xf numFmtId="0" fontId="15" fillId="7" borderId="12" xfId="0" applyFont="1" applyFill="1" applyBorder="1" applyAlignment="1">
      <alignment horizontal="left" vertical="top" wrapText="1" indent="8"/>
    </xf>
    <xf numFmtId="0" fontId="6" fillId="7" borderId="0" xfId="0" applyFont="1" applyFill="1" applyAlignment="1">
      <alignment horizontal="left" vertical="top" wrapText="1" indent="8"/>
    </xf>
    <xf numFmtId="0" fontId="6" fillId="7" borderId="13" xfId="0" applyFont="1" applyFill="1" applyBorder="1" applyAlignment="1">
      <alignment horizontal="left" vertical="top" wrapText="1" indent="8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9" fontId="24" fillId="2" borderId="0" xfId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2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>
          <bgColor theme="0"/>
        </patternFill>
      </fill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fill>
        <patternFill>
          <bgColor theme="0"/>
        </patternFill>
      </fill>
      <alignment horizontal="general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R$&quot;\ #,##0.00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family val="2"/>
      </font>
      <fill>
        <patternFill>
          <bgColor theme="0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>
          <bgColor theme="0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strike val="0"/>
        <outline val="0"/>
        <shadow val="0"/>
        <u val="none"/>
        <vertAlign val="baseline"/>
        <color auto="1"/>
        <family val="2"/>
      </font>
      <fill>
        <patternFill>
          <bgColor theme="0"/>
        </patternFill>
      </fill>
      <alignment horizontal="general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>
          <bgColor theme="0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theme="0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F2A15"/>
      <color rgb="FF5C3D1E"/>
      <color rgb="FF8156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BF$1" fmlaRange="$BE$4:$BE$225" noThreeD="1" sel="12" val="11"/>
</file>

<file path=xl/ctrlProps/ctrlProp2.xml><?xml version="1.0" encoding="utf-8"?>
<formControlPr xmlns="http://schemas.microsoft.com/office/spreadsheetml/2009/9/main" objectType="Drop" dropStyle="combo" dx="22" fmlaLink="$BJ$1" fmlaRange="$BI$4:$BI$7" noThreeD="1" sel="1" val="0"/>
</file>

<file path=xl/ctrlProps/ctrlProp3.xml><?xml version="1.0" encoding="utf-8"?>
<formControlPr xmlns="http://schemas.microsoft.com/office/spreadsheetml/2009/9/main" objectType="Drop" dropStyle="combo" dx="22" fmlaLink="$CV$1" fmlaRange="$CU$4:$CU$7" noThreeD="1" sel="1" val="0"/>
</file>

<file path=xl/ctrlProps/ctrlProp4.xml><?xml version="1.0" encoding="utf-8"?>
<formControlPr xmlns="http://schemas.microsoft.com/office/spreadsheetml/2009/9/main" objectType="Drop" dropStyle="combo" dx="22" fmlaLink="$CR$1" fmlaRange="$CQ$4:$CQ$115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47625</xdr:rowOff>
        </xdr:from>
        <xdr:to>
          <xdr:col>7</xdr:col>
          <xdr:colOff>981075</xdr:colOff>
          <xdr:row>7</xdr:row>
          <xdr:rowOff>333375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47625</xdr:rowOff>
        </xdr:from>
        <xdr:to>
          <xdr:col>7</xdr:col>
          <xdr:colOff>971550</xdr:colOff>
          <xdr:row>5</xdr:row>
          <xdr:rowOff>333375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638174</xdr:colOff>
      <xdr:row>1</xdr:row>
      <xdr:rowOff>161924</xdr:rowOff>
    </xdr:to>
    <xdr:pic>
      <xdr:nvPicPr>
        <xdr:cNvPr id="2" name="Gráfico 1" descr="Documento com preenchimento sólido">
          <a:extLst>
            <a:ext uri="{FF2B5EF4-FFF2-40B4-BE49-F238E27FC236}">
              <a16:creationId xmlns:a16="http://schemas.microsoft.com/office/drawing/2014/main" id="{8B61D569-EAE3-4BAA-A6D6-85CF73F45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266700</xdr:rowOff>
    </xdr:from>
    <xdr:to>
      <xdr:col>8</xdr:col>
      <xdr:colOff>311341</xdr:colOff>
      <xdr:row>1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8366B97-8A48-403A-9C80-92BC462D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266700"/>
          <a:ext cx="911416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47625</xdr:rowOff>
        </xdr:from>
        <xdr:to>
          <xdr:col>7</xdr:col>
          <xdr:colOff>1209675</xdr:colOff>
          <xdr:row>5</xdr:row>
          <xdr:rowOff>333375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38100</xdr:rowOff>
        </xdr:from>
        <xdr:to>
          <xdr:col>7</xdr:col>
          <xdr:colOff>1209675</xdr:colOff>
          <xdr:row>7</xdr:row>
          <xdr:rowOff>323850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0</xdr:col>
      <xdr:colOff>638174</xdr:colOff>
      <xdr:row>1</xdr:row>
      <xdr:rowOff>238124</xdr:rowOff>
    </xdr:to>
    <xdr:pic>
      <xdr:nvPicPr>
        <xdr:cNvPr id="2" name="Gráfico 1" descr="Documento com preenchimento sólido">
          <a:extLst>
            <a:ext uri="{FF2B5EF4-FFF2-40B4-BE49-F238E27FC236}">
              <a16:creationId xmlns:a16="http://schemas.microsoft.com/office/drawing/2014/main" id="{02001E90-FDFF-4AE9-8665-3352F5150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9525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7</xdr:col>
      <xdr:colOff>981075</xdr:colOff>
      <xdr:row>0</xdr:row>
      <xdr:rowOff>257175</xdr:rowOff>
    </xdr:from>
    <xdr:to>
      <xdr:col>8</xdr:col>
      <xdr:colOff>292291</xdr:colOff>
      <xdr:row>1</xdr:row>
      <xdr:rowOff>209550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1418DD3-B893-4C08-A4B8-A3FCA8838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257175"/>
          <a:ext cx="911416" cy="361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reducacionalbr-my.sharepoint.com/personal/claudineia_jorge_sereducacional_com/Documents/&#193;rea%20de%20Trabalho/FAEL/1&#186;%20Comercial/Planejamento%20comercial/2025/PRE&#199;OS/CAMPANHA%20REGULAR%2001-12.xlsx" TargetMode="External"/><Relationship Id="rId1" Type="http://schemas.openxmlformats.org/officeDocument/2006/relationships/externalLinkPath" Target="CAMPANHA%20REGULAR%200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D_EAD_0112 a 3101_CAMP. REG)"/>
      <sheetName val="GRD_VIVO_0112 a 3101_CAMP. REG)"/>
      <sheetName val="POS_EAD_0112 a 3101_CAMP. REG)"/>
      <sheetName val="POS_VIVO_0112 a 3101_CAMP. REG)"/>
    </sheetNames>
    <sheetDataSet>
      <sheetData sheetId="0"/>
      <sheetData sheetId="1"/>
      <sheetData sheetId="2">
        <row r="5">
          <cell r="F5" t="str">
            <v>NOME SITE</v>
          </cell>
          <cell r="G5" t="str">
            <v>Àrea</v>
          </cell>
          <cell r="H5" t="str">
            <v>Duração Meses</v>
          </cell>
          <cell r="I5" t="str">
            <v>Nº Parcelas</v>
          </cell>
          <cell r="J5" t="str">
            <v>Parcela (R$)</v>
          </cell>
          <cell r="K5" t="str">
            <v>Valor Integral (R$)</v>
          </cell>
          <cell r="L5" t="str">
            <v>Desconto (%)</v>
          </cell>
          <cell r="M5" t="str">
            <v>Parcela c/ Desc (R$)</v>
          </cell>
          <cell r="N5" t="str">
            <v xml:space="preserve"> Valor Integral c/ Desc</v>
          </cell>
          <cell r="O5" t="str">
            <v>Desconto total (%)</v>
          </cell>
          <cell r="P5" t="str">
            <v>Desconto (%)</v>
          </cell>
          <cell r="Q5" t="str">
            <v>Parcela c/ Desc (R$)</v>
          </cell>
        </row>
        <row r="6">
          <cell r="F6" t="str">
            <v>ESPECIALIZAÇÃO EM ADMINISTRAÇÃO DE CONTRATOS PÚBLICOS</v>
          </cell>
          <cell r="G6" t="str">
            <v>Humanas</v>
          </cell>
          <cell r="H6">
            <v>6</v>
          </cell>
          <cell r="I6">
            <v>13</v>
          </cell>
          <cell r="J6">
            <v>269.33202599999998</v>
          </cell>
          <cell r="K6">
            <v>3501.3163379999996</v>
          </cell>
          <cell r="L6">
            <v>0.45</v>
          </cell>
          <cell r="M6">
            <v>133.32</v>
          </cell>
          <cell r="N6">
            <v>1733.1599999999999</v>
          </cell>
          <cell r="O6">
            <v>0.50499759727794125</v>
          </cell>
          <cell r="P6">
            <v>0.5</v>
          </cell>
          <cell r="Q6">
            <v>121.2</v>
          </cell>
        </row>
        <row r="7">
          <cell r="F7" t="str">
            <v>ESPECIALIZAÇÃO EM ADMINISTRAÇÃO DE DEPARTAMENTO PESSOAL</v>
          </cell>
          <cell r="G7" t="str">
            <v>Negócios</v>
          </cell>
          <cell r="H7">
            <v>12</v>
          </cell>
          <cell r="I7">
            <v>19</v>
          </cell>
          <cell r="J7">
            <v>184.28091221052631</v>
          </cell>
          <cell r="K7">
            <v>3501.3373320000001</v>
          </cell>
          <cell r="L7">
            <v>0.45</v>
          </cell>
          <cell r="M7">
            <v>91.22</v>
          </cell>
          <cell r="N7">
            <v>1733.18</v>
          </cell>
          <cell r="O7">
            <v>0.50499485320656334</v>
          </cell>
          <cell r="P7">
            <v>0.5</v>
          </cell>
          <cell r="Q7">
            <v>82.93</v>
          </cell>
        </row>
        <row r="8">
          <cell r="F8" t="str">
            <v>ESPECIALIZAÇÃO EM ADMINISTRAÇÃO DE PROTEÇÃO DE DADOS</v>
          </cell>
          <cell r="G8" t="str">
            <v>Exatas</v>
          </cell>
          <cell r="H8">
            <v>6</v>
          </cell>
          <cell r="I8">
            <v>13</v>
          </cell>
          <cell r="J8">
            <v>405.70905000000005</v>
          </cell>
          <cell r="K8">
            <v>5274.2176500000005</v>
          </cell>
          <cell r="L8">
            <v>0.45</v>
          </cell>
          <cell r="M8">
            <v>200.83</v>
          </cell>
          <cell r="N8">
            <v>2610.79</v>
          </cell>
          <cell r="O8">
            <v>0.50499009080522117</v>
          </cell>
          <cell r="P8">
            <v>0.5</v>
          </cell>
          <cell r="Q8">
            <v>182.57</v>
          </cell>
        </row>
        <row r="9">
          <cell r="F9" t="str">
            <v>ESPECIALIZAÇÃO EM ADMINISTRAÇÃO EM SAÚDE PÚBLICA</v>
          </cell>
          <cell r="G9" t="str">
            <v>Humanas</v>
          </cell>
          <cell r="H9">
            <v>6</v>
          </cell>
          <cell r="I9">
            <v>13</v>
          </cell>
          <cell r="J9">
            <v>405.70905000000005</v>
          </cell>
          <cell r="K9">
            <v>5274.2176500000005</v>
          </cell>
          <cell r="L9">
            <v>0.45</v>
          </cell>
          <cell r="M9">
            <v>200.83</v>
          </cell>
          <cell r="N9">
            <v>2610.79</v>
          </cell>
          <cell r="O9">
            <v>0.50499009080522117</v>
          </cell>
          <cell r="P9">
            <v>0.5</v>
          </cell>
          <cell r="Q9">
            <v>182.57</v>
          </cell>
        </row>
        <row r="10">
          <cell r="F10" t="str">
            <v>ESPECIALIZAÇÃO EM ADMINISTRAÇÃO PÚBLICA E DIREITO PÚBLICO</v>
          </cell>
          <cell r="G10" t="str">
            <v>Humanas</v>
          </cell>
          <cell r="H10">
            <v>6</v>
          </cell>
          <cell r="I10">
            <v>13</v>
          </cell>
          <cell r="J10">
            <v>405.70905000000005</v>
          </cell>
          <cell r="K10">
            <v>5274.2176500000005</v>
          </cell>
          <cell r="L10">
            <v>0.45</v>
          </cell>
          <cell r="M10">
            <v>200.83</v>
          </cell>
          <cell r="N10">
            <v>2610.79</v>
          </cell>
          <cell r="O10">
            <v>0.50499009080522117</v>
          </cell>
          <cell r="P10">
            <v>0.5</v>
          </cell>
          <cell r="Q10">
            <v>182.57</v>
          </cell>
        </row>
        <row r="11">
          <cell r="F11" t="str">
            <v>ESPECIALIZAÇÃO EM ALFABETIZAÇÃO E LETRAMENTO</v>
          </cell>
          <cell r="G11" t="str">
            <v>Humanas</v>
          </cell>
          <cell r="H11">
            <v>12</v>
          </cell>
          <cell r="I11">
            <v>19</v>
          </cell>
          <cell r="J11">
            <v>184.28091221052631</v>
          </cell>
          <cell r="K11">
            <v>3501.3373320000001</v>
          </cell>
          <cell r="L11">
            <v>0.45</v>
          </cell>
          <cell r="M11">
            <v>91.22</v>
          </cell>
          <cell r="N11">
            <v>1733.18</v>
          </cell>
          <cell r="O11">
            <v>0.50499485320656334</v>
          </cell>
          <cell r="P11">
            <v>0.5</v>
          </cell>
          <cell r="Q11">
            <v>82.93</v>
          </cell>
        </row>
        <row r="12">
          <cell r="F12" t="str">
            <v>ESPECIALIZAÇÃO EM ANÁLISES CLÍNICAS</v>
          </cell>
          <cell r="G12" t="str">
            <v>Saúde</v>
          </cell>
          <cell r="H12">
            <v>12</v>
          </cell>
          <cell r="I12">
            <v>19</v>
          </cell>
          <cell r="J12">
            <v>277.58266800000001</v>
          </cell>
          <cell r="K12">
            <v>5274.0706920000002</v>
          </cell>
          <cell r="L12">
            <v>0.45</v>
          </cell>
          <cell r="M12">
            <v>137.4</v>
          </cell>
          <cell r="N12">
            <v>2610.6</v>
          </cell>
          <cell r="O12">
            <v>0.50501232303163834</v>
          </cell>
          <cell r="P12">
            <v>0.5</v>
          </cell>
          <cell r="Q12">
            <v>124.91</v>
          </cell>
        </row>
        <row r="13">
          <cell r="F13" t="str">
            <v>ESPECIALIZAÇÃO EM ANÁLISES CLÍNICAS E DIAGNÓSTICO LABORATORIAL</v>
          </cell>
          <cell r="G13" t="str">
            <v>Saúde</v>
          </cell>
          <cell r="H13">
            <v>12</v>
          </cell>
          <cell r="I13">
            <v>19</v>
          </cell>
          <cell r="J13">
            <v>277.58266800000001</v>
          </cell>
          <cell r="K13">
            <v>5274.0706920000002</v>
          </cell>
          <cell r="L13">
            <v>0.45</v>
          </cell>
          <cell r="M13">
            <v>137.4</v>
          </cell>
          <cell r="N13">
            <v>2610.6</v>
          </cell>
          <cell r="O13">
            <v>0.50501232303163834</v>
          </cell>
          <cell r="P13">
            <v>0.5</v>
          </cell>
          <cell r="Q13">
            <v>124.91</v>
          </cell>
        </row>
        <row r="14">
          <cell r="F14" t="str">
            <v>ESPECIALIZAÇÃO EM ANÁLISES CLÍNICAS E TOXICOLÓGICAS</v>
          </cell>
          <cell r="G14" t="str">
            <v>Saúde</v>
          </cell>
          <cell r="H14">
            <v>6</v>
          </cell>
          <cell r="I14">
            <v>13</v>
          </cell>
          <cell r="J14">
            <v>405.70905000000005</v>
          </cell>
          <cell r="K14">
            <v>5274.2176500000005</v>
          </cell>
          <cell r="L14">
            <v>0.45</v>
          </cell>
          <cell r="M14">
            <v>200.83</v>
          </cell>
          <cell r="N14">
            <v>2610.79</v>
          </cell>
          <cell r="O14">
            <v>0.50499009080522117</v>
          </cell>
          <cell r="P14">
            <v>0.5</v>
          </cell>
          <cell r="Q14">
            <v>182.57</v>
          </cell>
        </row>
        <row r="15">
          <cell r="F15" t="str">
            <v>ESPECIALIZAÇÃO EM ANTROPOLOGIA E FUNDAMENTOS DA EDUCAÇÃO SOCIAL</v>
          </cell>
          <cell r="G15" t="str">
            <v>Humanas</v>
          </cell>
          <cell r="H15">
            <v>12</v>
          </cell>
          <cell r="I15">
            <v>19</v>
          </cell>
          <cell r="J15">
            <v>184.28091221052631</v>
          </cell>
          <cell r="K15">
            <v>3501.3373320000001</v>
          </cell>
          <cell r="L15">
            <v>0.45</v>
          </cell>
          <cell r="M15">
            <v>91.22</v>
          </cell>
          <cell r="N15">
            <v>1733.18</v>
          </cell>
          <cell r="O15">
            <v>0.50499485320656334</v>
          </cell>
          <cell r="P15">
            <v>0.5</v>
          </cell>
          <cell r="Q15">
            <v>82.93</v>
          </cell>
        </row>
        <row r="16">
          <cell r="F16" t="str">
            <v>ESPECIALIZAÇÃO EM ARQUITETURA DE CLOUD COMPUTING</v>
          </cell>
          <cell r="G16" t="str">
            <v>Negócios</v>
          </cell>
          <cell r="H16">
            <v>12</v>
          </cell>
          <cell r="I16">
            <v>19</v>
          </cell>
          <cell r="J16">
            <v>277.58266800000001</v>
          </cell>
          <cell r="K16">
            <v>5274.0706920000002</v>
          </cell>
          <cell r="L16">
            <v>0.45</v>
          </cell>
          <cell r="M16">
            <v>137.4</v>
          </cell>
          <cell r="N16">
            <v>2610.6</v>
          </cell>
          <cell r="O16">
            <v>0.50501232303163834</v>
          </cell>
          <cell r="P16">
            <v>0.5</v>
          </cell>
          <cell r="Q16">
            <v>124.91</v>
          </cell>
        </row>
        <row r="17">
          <cell r="F17" t="str">
            <v>ESPECIALIZAÇÃO EM ARQUITETURA DE COMPUTAÇÃO EM NUVEM</v>
          </cell>
          <cell r="G17" t="str">
            <v>Exatas</v>
          </cell>
          <cell r="H17">
            <v>6</v>
          </cell>
          <cell r="I17">
            <v>13</v>
          </cell>
          <cell r="J17">
            <v>405.70905000000005</v>
          </cell>
          <cell r="K17">
            <v>5274.2176500000005</v>
          </cell>
          <cell r="L17">
            <v>0.45</v>
          </cell>
          <cell r="M17">
            <v>200.83</v>
          </cell>
          <cell r="N17">
            <v>2610.79</v>
          </cell>
          <cell r="O17">
            <v>0.50499009080522117</v>
          </cell>
          <cell r="P17">
            <v>0.5</v>
          </cell>
          <cell r="Q17">
            <v>182.57</v>
          </cell>
        </row>
        <row r="18">
          <cell r="F18" t="str">
            <v>ESPECIALIZAÇÃO EM AUDITORIA DA QUALIDADE</v>
          </cell>
          <cell r="G18" t="str">
            <v>Humanas</v>
          </cell>
          <cell r="H18">
            <v>12</v>
          </cell>
          <cell r="I18">
            <v>19</v>
          </cell>
          <cell r="J18">
            <v>184.28091221052631</v>
          </cell>
          <cell r="K18">
            <v>3501.3373320000001</v>
          </cell>
          <cell r="L18">
            <v>0.45</v>
          </cell>
          <cell r="M18">
            <v>91.22</v>
          </cell>
          <cell r="N18">
            <v>1733.18</v>
          </cell>
          <cell r="O18">
            <v>0.50499485320656334</v>
          </cell>
          <cell r="P18">
            <v>0.5</v>
          </cell>
          <cell r="Q18">
            <v>82.93</v>
          </cell>
        </row>
        <row r="19">
          <cell r="F19" t="str">
            <v>ESPECIALIZAÇÃO EM AULAS ON-LINE PARA EDUCAÇÃO BÁSICA</v>
          </cell>
          <cell r="G19" t="str">
            <v>Humanas</v>
          </cell>
          <cell r="H19">
            <v>4</v>
          </cell>
          <cell r="I19">
            <v>7</v>
          </cell>
          <cell r="J19">
            <v>269.33202599999998</v>
          </cell>
          <cell r="K19">
            <v>1885.3241819999998</v>
          </cell>
          <cell r="L19">
            <v>0.45</v>
          </cell>
          <cell r="M19">
            <v>133.32</v>
          </cell>
          <cell r="N19">
            <v>933.24</v>
          </cell>
          <cell r="O19">
            <v>0.50499759727794125</v>
          </cell>
          <cell r="P19">
            <v>0.5</v>
          </cell>
          <cell r="Q19">
            <v>121.2</v>
          </cell>
        </row>
        <row r="20">
          <cell r="F20" t="str">
            <v>ESPECIALIZAÇÃO EM CIBERSEGURANÇA: MONITORAMENTO E PROTEÇÃO DIGITAL DE NEGÓCIOS</v>
          </cell>
          <cell r="G20" t="str">
            <v>Negócios</v>
          </cell>
          <cell r="H20">
            <v>12</v>
          </cell>
          <cell r="I20">
            <v>19</v>
          </cell>
          <cell r="J20">
            <v>277.58266800000001</v>
          </cell>
          <cell r="K20">
            <v>5274.0706920000002</v>
          </cell>
          <cell r="L20">
            <v>0.45</v>
          </cell>
          <cell r="M20">
            <v>137.4</v>
          </cell>
          <cell r="N20">
            <v>2610.6</v>
          </cell>
          <cell r="O20">
            <v>0.50501232303163834</v>
          </cell>
          <cell r="P20">
            <v>0.5</v>
          </cell>
          <cell r="Q20">
            <v>124.91</v>
          </cell>
        </row>
        <row r="21">
          <cell r="F21" t="str">
            <v>ESPECIALIZAÇÃO EM CIÊNCIAS DE DADOS</v>
          </cell>
          <cell r="G21" t="str">
            <v>Exatas</v>
          </cell>
          <cell r="H21">
            <v>6</v>
          </cell>
          <cell r="I21">
            <v>13</v>
          </cell>
          <cell r="J21">
            <v>269.33202599999998</v>
          </cell>
          <cell r="K21">
            <v>3501.3163379999996</v>
          </cell>
          <cell r="L21">
            <v>0.45</v>
          </cell>
          <cell r="M21">
            <v>133.32</v>
          </cell>
          <cell r="N21">
            <v>1733.1599999999999</v>
          </cell>
          <cell r="O21">
            <v>0.50499759727794125</v>
          </cell>
          <cell r="P21">
            <v>0.5</v>
          </cell>
          <cell r="Q21">
            <v>121.2</v>
          </cell>
        </row>
        <row r="22">
          <cell r="F22" t="str">
            <v>ESPECIALIZAÇÃO EM COMUNICAÇÃO E MARKETING POLÍTICO</v>
          </cell>
          <cell r="G22" t="str">
            <v>Humanas</v>
          </cell>
          <cell r="H22">
            <v>12</v>
          </cell>
          <cell r="I22">
            <v>19</v>
          </cell>
          <cell r="J22">
            <v>184.28091221052631</v>
          </cell>
          <cell r="K22">
            <v>3501.3373320000001</v>
          </cell>
          <cell r="L22">
            <v>0.45</v>
          </cell>
          <cell r="M22">
            <v>91.22</v>
          </cell>
          <cell r="N22">
            <v>1733.18</v>
          </cell>
          <cell r="O22">
            <v>0.50499485320656334</v>
          </cell>
          <cell r="P22">
            <v>0.5</v>
          </cell>
          <cell r="Q22">
            <v>82.93</v>
          </cell>
        </row>
        <row r="23">
          <cell r="F23" t="str">
            <v>ESPECIALIZAÇÃO EM COMUNICAÇÃO E PORTUGUÊS JURÍDICO</v>
          </cell>
          <cell r="G23" t="str">
            <v>Humanas</v>
          </cell>
          <cell r="H23">
            <v>6</v>
          </cell>
          <cell r="I23">
            <v>13</v>
          </cell>
          <cell r="J23">
            <v>269.33202599999998</v>
          </cell>
          <cell r="K23">
            <v>3501.3163379999996</v>
          </cell>
          <cell r="L23">
            <v>0.45</v>
          </cell>
          <cell r="M23">
            <v>133.32</v>
          </cell>
          <cell r="N23">
            <v>1733.1599999999999</v>
          </cell>
          <cell r="O23">
            <v>0.50499759727794125</v>
          </cell>
          <cell r="P23">
            <v>0.5</v>
          </cell>
          <cell r="Q23">
            <v>121.2</v>
          </cell>
        </row>
        <row r="24">
          <cell r="F24" t="str">
            <v>ESPECIALIZAÇÃO EM COMUNICAÇÃO ESTRATÉGICA E MARKETING POLÍTICO</v>
          </cell>
          <cell r="G24" t="str">
            <v>Humanas</v>
          </cell>
          <cell r="H24">
            <v>6</v>
          </cell>
          <cell r="I24">
            <v>13</v>
          </cell>
          <cell r="J24">
            <v>269.33202599999998</v>
          </cell>
          <cell r="K24">
            <v>3501.3163379999996</v>
          </cell>
          <cell r="L24">
            <v>0.45</v>
          </cell>
          <cell r="M24">
            <v>133.32</v>
          </cell>
          <cell r="N24">
            <v>1733.1599999999999</v>
          </cell>
          <cell r="O24">
            <v>0.50499759727794125</v>
          </cell>
          <cell r="P24">
            <v>0.5</v>
          </cell>
          <cell r="Q24">
            <v>121.2</v>
          </cell>
        </row>
        <row r="25">
          <cell r="F25" t="str">
            <v>ESPECIALIZAÇÃO EM CONTABILIDADE GERENCIAL</v>
          </cell>
          <cell r="G25" t="str">
            <v>Exatas</v>
          </cell>
          <cell r="H25">
            <v>6</v>
          </cell>
          <cell r="I25">
            <v>13</v>
          </cell>
          <cell r="J25">
            <v>269.33202599999998</v>
          </cell>
          <cell r="K25">
            <v>3501.3163379999996</v>
          </cell>
          <cell r="L25">
            <v>0.45</v>
          </cell>
          <cell r="M25">
            <v>133.32</v>
          </cell>
          <cell r="N25">
            <v>1733.1599999999999</v>
          </cell>
          <cell r="O25">
            <v>0.50499759727794125</v>
          </cell>
          <cell r="P25">
            <v>0.5</v>
          </cell>
          <cell r="Q25">
            <v>121.2</v>
          </cell>
        </row>
        <row r="26">
          <cell r="F26" t="str">
            <v>ESPECIALIZAÇÃO EM CONTROLE E QUALIDADE EM PROCESSOS, PRODUTOS E SERVIÇOS</v>
          </cell>
          <cell r="G26" t="str">
            <v>Exatas</v>
          </cell>
          <cell r="H26">
            <v>6</v>
          </cell>
          <cell r="I26">
            <v>13</v>
          </cell>
          <cell r="J26">
            <v>269.33202599999998</v>
          </cell>
          <cell r="K26">
            <v>3501.3163379999996</v>
          </cell>
          <cell r="L26">
            <v>0.45</v>
          </cell>
          <cell r="M26">
            <v>133.32</v>
          </cell>
          <cell r="N26">
            <v>1733.1599999999999</v>
          </cell>
          <cell r="O26">
            <v>0.50499759727794125</v>
          </cell>
          <cell r="P26">
            <v>0.5</v>
          </cell>
          <cell r="Q26">
            <v>121.2</v>
          </cell>
        </row>
        <row r="27">
          <cell r="F27" t="str">
            <v>ESPECIALIZAÇÃO EM COSMETOLOGIA ESTÉTICA</v>
          </cell>
          <cell r="G27" t="str">
            <v>Saúde</v>
          </cell>
          <cell r="H27">
            <v>12</v>
          </cell>
          <cell r="I27">
            <v>19</v>
          </cell>
          <cell r="J27">
            <v>277.58266800000001</v>
          </cell>
          <cell r="K27">
            <v>5274.0706920000002</v>
          </cell>
          <cell r="L27">
            <v>0.45</v>
          </cell>
          <cell r="M27">
            <v>137.4</v>
          </cell>
          <cell r="N27">
            <v>2610.6</v>
          </cell>
          <cell r="O27">
            <v>0.50501232303163834</v>
          </cell>
          <cell r="P27">
            <v>0.5</v>
          </cell>
          <cell r="Q27">
            <v>124.91</v>
          </cell>
        </row>
        <row r="28">
          <cell r="F28" t="str">
            <v>ESPECIALIZAÇÃO EM CUIDADO FARMACÊUTICO ONCOLÓGICO</v>
          </cell>
          <cell r="G28" t="str">
            <v>Saúde</v>
          </cell>
          <cell r="H28">
            <v>6</v>
          </cell>
          <cell r="I28">
            <v>13</v>
          </cell>
          <cell r="J28">
            <v>405.70905000000005</v>
          </cell>
          <cell r="K28">
            <v>5274.2176500000005</v>
          </cell>
          <cell r="L28">
            <v>0.45</v>
          </cell>
          <cell r="M28">
            <v>200.83</v>
          </cell>
          <cell r="N28">
            <v>2610.79</v>
          </cell>
          <cell r="O28">
            <v>0.50499009080522117</v>
          </cell>
          <cell r="P28">
            <v>0.5</v>
          </cell>
          <cell r="Q28">
            <v>182.57</v>
          </cell>
        </row>
        <row r="29">
          <cell r="F29" t="str">
            <v>ESPECIALIZAÇÃO EM DATA SCIENCE</v>
          </cell>
          <cell r="G29" t="str">
            <v>Exatas</v>
          </cell>
          <cell r="H29">
            <v>12</v>
          </cell>
          <cell r="I29">
            <v>19</v>
          </cell>
          <cell r="J29">
            <v>184.28091221052631</v>
          </cell>
          <cell r="K29">
            <v>3501.3373320000001</v>
          </cell>
          <cell r="L29">
            <v>0.45</v>
          </cell>
          <cell r="M29">
            <v>91.22</v>
          </cell>
          <cell r="N29">
            <v>1733.18</v>
          </cell>
          <cell r="O29">
            <v>0.50499485320656334</v>
          </cell>
          <cell r="P29">
            <v>0.5</v>
          </cell>
          <cell r="Q29">
            <v>82.93</v>
          </cell>
        </row>
        <row r="30">
          <cell r="F30" t="str">
            <v>ESPECIALIZAÇÃO EM DESIGN DE INTERIORES</v>
          </cell>
          <cell r="G30" t="str">
            <v>Exatas</v>
          </cell>
          <cell r="H30">
            <v>12</v>
          </cell>
          <cell r="I30">
            <v>19</v>
          </cell>
          <cell r="J30">
            <v>184.28091221052631</v>
          </cell>
          <cell r="K30">
            <v>3501.3373320000001</v>
          </cell>
          <cell r="L30">
            <v>0.45</v>
          </cell>
          <cell r="M30">
            <v>91.22</v>
          </cell>
          <cell r="N30">
            <v>1733.18</v>
          </cell>
          <cell r="O30">
            <v>0.50499485320656334</v>
          </cell>
          <cell r="P30">
            <v>0.5</v>
          </cell>
          <cell r="Q30">
            <v>82.93</v>
          </cell>
        </row>
        <row r="31">
          <cell r="F31" t="str">
            <v>ESPECIALIZAÇÃO EM DESIGN DE INTERIORES COM ÊNFASE EM PROJETOS COMERCIAIS</v>
          </cell>
          <cell r="G31" t="str">
            <v>Exatas</v>
          </cell>
          <cell r="H31">
            <v>12</v>
          </cell>
          <cell r="I31">
            <v>19</v>
          </cell>
          <cell r="J31">
            <v>184.28091221052631</v>
          </cell>
          <cell r="K31">
            <v>3501.3373320000001</v>
          </cell>
          <cell r="L31">
            <v>0.45</v>
          </cell>
          <cell r="M31">
            <v>91.22</v>
          </cell>
          <cell r="N31">
            <v>1733.18</v>
          </cell>
          <cell r="O31">
            <v>0.50499485320656334</v>
          </cell>
          <cell r="P31">
            <v>0.5</v>
          </cell>
          <cell r="Q31">
            <v>82.93</v>
          </cell>
        </row>
        <row r="32">
          <cell r="F32" t="str">
            <v>ESPECIALIZAÇÃO EM DESIGN DE PROJETOS COMERCIAIS</v>
          </cell>
          <cell r="G32" t="str">
            <v>Exatas</v>
          </cell>
          <cell r="H32">
            <v>6</v>
          </cell>
          <cell r="I32">
            <v>13</v>
          </cell>
          <cell r="J32">
            <v>269.33202599999998</v>
          </cell>
          <cell r="K32">
            <v>3501.3163379999996</v>
          </cell>
          <cell r="L32">
            <v>0.45</v>
          </cell>
          <cell r="M32">
            <v>133.32</v>
          </cell>
          <cell r="N32">
            <v>1733.1599999999999</v>
          </cell>
          <cell r="O32">
            <v>0.50499759727794125</v>
          </cell>
          <cell r="P32">
            <v>0.5</v>
          </cell>
          <cell r="Q32">
            <v>121.2</v>
          </cell>
        </row>
        <row r="33">
          <cell r="F33" t="str">
            <v>ESPECIALIZAÇÃO EM DEVOPS</v>
          </cell>
          <cell r="G33" t="str">
            <v>Exatas</v>
          </cell>
          <cell r="H33">
            <v>6</v>
          </cell>
          <cell r="I33">
            <v>13</v>
          </cell>
          <cell r="J33">
            <v>405.70905000000005</v>
          </cell>
          <cell r="K33">
            <v>5274.2176500000005</v>
          </cell>
          <cell r="L33">
            <v>0.45</v>
          </cell>
          <cell r="M33">
            <v>200.83</v>
          </cell>
          <cell r="N33">
            <v>2610.79</v>
          </cell>
          <cell r="O33">
            <v>0.50499009080522117</v>
          </cell>
          <cell r="P33">
            <v>0.5</v>
          </cell>
          <cell r="Q33">
            <v>182.57</v>
          </cell>
        </row>
        <row r="34">
          <cell r="F34" t="str">
            <v>ESPECIALIZAÇÃO EM DIAGNÓSTICO LABORATORIAL E ANÁLISES CLÍNICAS</v>
          </cell>
          <cell r="G34" t="str">
            <v>Saúde</v>
          </cell>
          <cell r="H34">
            <v>6</v>
          </cell>
          <cell r="I34">
            <v>13</v>
          </cell>
          <cell r="J34">
            <v>405.70905000000005</v>
          </cell>
          <cell r="K34">
            <v>5274.2176500000005</v>
          </cell>
          <cell r="L34">
            <v>0.45</v>
          </cell>
          <cell r="M34">
            <v>200.83</v>
          </cell>
          <cell r="N34">
            <v>2610.79</v>
          </cell>
          <cell r="O34">
            <v>0.50499009080522117</v>
          </cell>
          <cell r="P34">
            <v>0.5</v>
          </cell>
          <cell r="Q34">
            <v>182.57</v>
          </cell>
        </row>
        <row r="35">
          <cell r="F35" t="str">
            <v>ESPECIALIZAÇÃO EM DIDÁTICA E METODOLOGIA DO ENSINO DE GEOGRAFIA</v>
          </cell>
          <cell r="G35" t="str">
            <v>Humanas</v>
          </cell>
          <cell r="H35">
            <v>12</v>
          </cell>
          <cell r="I35">
            <v>19</v>
          </cell>
          <cell r="J35">
            <v>184.28091221052631</v>
          </cell>
          <cell r="K35">
            <v>3501.3373320000001</v>
          </cell>
          <cell r="L35">
            <v>0.45</v>
          </cell>
          <cell r="M35">
            <v>91.22</v>
          </cell>
          <cell r="N35">
            <v>1733.18</v>
          </cell>
          <cell r="O35">
            <v>0.50499485320656334</v>
          </cell>
          <cell r="P35">
            <v>0.5</v>
          </cell>
          <cell r="Q35">
            <v>82.93</v>
          </cell>
        </row>
        <row r="36">
          <cell r="F36" t="str">
            <v>ESPECIALIZAÇÃO EM DIDÁTICA E METODOLOGIA DO ENSINO DE LÍNGUA PORTUGUESA</v>
          </cell>
          <cell r="G36" t="str">
            <v>Humanas</v>
          </cell>
          <cell r="H36">
            <v>12</v>
          </cell>
          <cell r="I36">
            <v>19</v>
          </cell>
          <cell r="J36">
            <v>184.28091221052631</v>
          </cell>
          <cell r="K36">
            <v>3501.3373320000001</v>
          </cell>
          <cell r="L36">
            <v>0.45</v>
          </cell>
          <cell r="M36">
            <v>91.22</v>
          </cell>
          <cell r="N36">
            <v>1733.18</v>
          </cell>
          <cell r="O36">
            <v>0.50499485320656334</v>
          </cell>
          <cell r="P36">
            <v>0.5</v>
          </cell>
          <cell r="Q36">
            <v>82.93</v>
          </cell>
        </row>
        <row r="37">
          <cell r="F37" t="str">
            <v>ESPECIALIZAÇÃO EM DIGITAL INFLUENCER</v>
          </cell>
          <cell r="G37" t="str">
            <v>Humanas</v>
          </cell>
          <cell r="H37">
            <v>12</v>
          </cell>
          <cell r="I37">
            <v>19</v>
          </cell>
          <cell r="J37">
            <v>184.28091221052631</v>
          </cell>
          <cell r="K37">
            <v>3501.3373320000001</v>
          </cell>
          <cell r="L37">
            <v>0.45</v>
          </cell>
          <cell r="M37">
            <v>91.22</v>
          </cell>
          <cell r="N37">
            <v>1733.18</v>
          </cell>
          <cell r="O37">
            <v>0.50499485320656334</v>
          </cell>
          <cell r="P37">
            <v>0.5</v>
          </cell>
          <cell r="Q37">
            <v>82.93</v>
          </cell>
        </row>
        <row r="38">
          <cell r="F38" t="str">
            <v>ESPECIALIZAÇÃO EM DIGITAL SECURITY</v>
          </cell>
          <cell r="G38" t="str">
            <v>Exatas</v>
          </cell>
          <cell r="H38">
            <v>12</v>
          </cell>
          <cell r="I38">
            <v>19</v>
          </cell>
          <cell r="J38">
            <v>184.28091221052631</v>
          </cell>
          <cell r="K38">
            <v>3501.3373320000001</v>
          </cell>
          <cell r="L38">
            <v>0.45</v>
          </cell>
          <cell r="M38">
            <v>91.22</v>
          </cell>
          <cell r="N38">
            <v>1733.18</v>
          </cell>
          <cell r="O38">
            <v>0.50499485320656334</v>
          </cell>
          <cell r="P38">
            <v>0.5</v>
          </cell>
          <cell r="Q38">
            <v>82.93</v>
          </cell>
        </row>
        <row r="39">
          <cell r="F39" t="str">
            <v>ESPECIALIZAÇÃO EM DIREITO AMBIENTAL</v>
          </cell>
          <cell r="G39" t="str">
            <v>Humanas</v>
          </cell>
          <cell r="H39">
            <v>12</v>
          </cell>
          <cell r="I39">
            <v>19</v>
          </cell>
          <cell r="J39">
            <v>277.58266800000001</v>
          </cell>
          <cell r="K39">
            <v>5274.0706920000002</v>
          </cell>
          <cell r="L39">
            <v>0.45</v>
          </cell>
          <cell r="M39">
            <v>137.4</v>
          </cell>
          <cell r="N39">
            <v>2610.6</v>
          </cell>
          <cell r="O39">
            <v>0.50501232303163834</v>
          </cell>
          <cell r="P39">
            <v>0.5</v>
          </cell>
          <cell r="Q39">
            <v>124.91</v>
          </cell>
        </row>
        <row r="40">
          <cell r="F40" t="str">
            <v>ESPECIALIZAÇÃO EM DIREITO CIVIL</v>
          </cell>
          <cell r="G40" t="str">
            <v>Humanas</v>
          </cell>
          <cell r="H40">
            <v>6</v>
          </cell>
          <cell r="I40">
            <v>13</v>
          </cell>
          <cell r="J40">
            <v>405.70905000000005</v>
          </cell>
          <cell r="K40">
            <v>5274.2176500000005</v>
          </cell>
          <cell r="L40">
            <v>0.45</v>
          </cell>
          <cell r="M40">
            <v>200.83</v>
          </cell>
          <cell r="N40">
            <v>2610.79</v>
          </cell>
          <cell r="O40">
            <v>0.50499009080522117</v>
          </cell>
          <cell r="P40">
            <v>0.5</v>
          </cell>
          <cell r="Q40">
            <v>182.57</v>
          </cell>
        </row>
        <row r="41">
          <cell r="F41" t="str">
            <v>ESPECIALIZAÇÃO EM DIREITO CIVIL E PROCESSO CIVIL</v>
          </cell>
          <cell r="G41" t="str">
            <v>Humanas</v>
          </cell>
          <cell r="H41">
            <v>12</v>
          </cell>
          <cell r="I41">
            <v>19</v>
          </cell>
          <cell r="J41">
            <v>277.58266800000001</v>
          </cell>
          <cell r="K41">
            <v>5274.0706920000002</v>
          </cell>
          <cell r="L41">
            <v>0.45</v>
          </cell>
          <cell r="M41">
            <v>137.4</v>
          </cell>
          <cell r="N41">
            <v>2610.6</v>
          </cell>
          <cell r="O41">
            <v>0.50501232303163834</v>
          </cell>
          <cell r="P41">
            <v>0.5</v>
          </cell>
          <cell r="Q41">
            <v>124.91</v>
          </cell>
        </row>
        <row r="42">
          <cell r="F42" t="str">
            <v>ESPECIALIZAÇÃO EM DIREITO DO CONSUMIDOR</v>
          </cell>
          <cell r="G42" t="str">
            <v>Humanas</v>
          </cell>
          <cell r="H42">
            <v>12</v>
          </cell>
          <cell r="I42">
            <v>19</v>
          </cell>
          <cell r="J42">
            <v>277.58266800000001</v>
          </cell>
          <cell r="K42">
            <v>5274.0706920000002</v>
          </cell>
          <cell r="L42">
            <v>0.45</v>
          </cell>
          <cell r="M42">
            <v>137.4</v>
          </cell>
          <cell r="N42">
            <v>2610.6</v>
          </cell>
          <cell r="O42">
            <v>0.50501232303163834</v>
          </cell>
          <cell r="P42">
            <v>0.5</v>
          </cell>
          <cell r="Q42">
            <v>124.91</v>
          </cell>
        </row>
        <row r="43">
          <cell r="F43" t="str">
            <v>ESPECIALIZAÇÃO EM DIREITO DO TRABALHO</v>
          </cell>
          <cell r="G43" t="str">
            <v>Humanas</v>
          </cell>
          <cell r="H43">
            <v>6</v>
          </cell>
          <cell r="I43">
            <v>13</v>
          </cell>
          <cell r="J43">
            <v>405.70905000000005</v>
          </cell>
          <cell r="K43">
            <v>5274.2176500000005</v>
          </cell>
          <cell r="L43">
            <v>0.45</v>
          </cell>
          <cell r="M43">
            <v>200.83</v>
          </cell>
          <cell r="N43">
            <v>2610.79</v>
          </cell>
          <cell r="O43">
            <v>0.50499009080522117</v>
          </cell>
          <cell r="P43">
            <v>0.5</v>
          </cell>
          <cell r="Q43">
            <v>182.57</v>
          </cell>
        </row>
        <row r="44">
          <cell r="F44" t="str">
            <v>ESPECIALIZAÇÃO EM DIREITO E MEIO AMBIENTE</v>
          </cell>
          <cell r="G44" t="str">
            <v>Humanas</v>
          </cell>
          <cell r="H44">
            <v>6</v>
          </cell>
          <cell r="I44">
            <v>13</v>
          </cell>
          <cell r="J44">
            <v>405.70905000000005</v>
          </cell>
          <cell r="K44">
            <v>5274.2176500000005</v>
          </cell>
          <cell r="L44">
            <v>0.45</v>
          </cell>
          <cell r="M44">
            <v>200.83</v>
          </cell>
          <cell r="N44">
            <v>2610.79</v>
          </cell>
          <cell r="O44">
            <v>0.50499009080522117</v>
          </cell>
          <cell r="P44">
            <v>0.5</v>
          </cell>
          <cell r="Q44">
            <v>182.57</v>
          </cell>
        </row>
        <row r="45">
          <cell r="F45" t="str">
            <v>ESPECIALIZAÇÃO EM DIREITO ELEITORAL</v>
          </cell>
          <cell r="G45" t="str">
            <v>Humanas</v>
          </cell>
          <cell r="H45">
            <v>12</v>
          </cell>
          <cell r="I45">
            <v>19</v>
          </cell>
          <cell r="J45">
            <v>277.58266800000001</v>
          </cell>
          <cell r="K45">
            <v>5274.0706920000002</v>
          </cell>
          <cell r="L45">
            <v>0.45</v>
          </cell>
          <cell r="M45">
            <v>137.4</v>
          </cell>
          <cell r="N45">
            <v>2610.6</v>
          </cell>
          <cell r="O45">
            <v>0.50501232303163834</v>
          </cell>
          <cell r="P45">
            <v>0.5</v>
          </cell>
          <cell r="Q45">
            <v>124.91</v>
          </cell>
        </row>
        <row r="46">
          <cell r="F46" t="str">
            <v>ESPECIALIZAÇÃO EM DIREITO MATERIAL E PROCESSUAL DO TRABALHO</v>
          </cell>
          <cell r="G46" t="str">
            <v>Humanas</v>
          </cell>
          <cell r="H46">
            <v>12</v>
          </cell>
          <cell r="I46">
            <v>19</v>
          </cell>
          <cell r="J46">
            <v>277.58266800000001</v>
          </cell>
          <cell r="K46">
            <v>5274.0706920000002</v>
          </cell>
          <cell r="L46">
            <v>0.45</v>
          </cell>
          <cell r="M46">
            <v>137.4</v>
          </cell>
          <cell r="N46">
            <v>2610.6</v>
          </cell>
          <cell r="O46">
            <v>0.50501232303163834</v>
          </cell>
          <cell r="P46">
            <v>0.5</v>
          </cell>
          <cell r="Q46">
            <v>124.91</v>
          </cell>
        </row>
        <row r="47">
          <cell r="F47" t="str">
            <v>ESPECIALIZAÇÃO EM DIREITO NAS RELAÇÕES DE CONSUMO</v>
          </cell>
          <cell r="G47" t="str">
            <v>Humanas</v>
          </cell>
          <cell r="H47">
            <v>6</v>
          </cell>
          <cell r="I47">
            <v>13</v>
          </cell>
          <cell r="J47">
            <v>405.70905000000005</v>
          </cell>
          <cell r="K47">
            <v>5274.2176500000005</v>
          </cell>
          <cell r="L47">
            <v>0.45</v>
          </cell>
          <cell r="M47">
            <v>200.83</v>
          </cell>
          <cell r="N47">
            <v>2610.79</v>
          </cell>
          <cell r="O47">
            <v>0.50499009080522117</v>
          </cell>
          <cell r="P47">
            <v>0.5</v>
          </cell>
          <cell r="Q47">
            <v>182.57</v>
          </cell>
        </row>
        <row r="48">
          <cell r="F48" t="str">
            <v>ESPECIALIZAÇÃO EM DIREITO PÚBLICO</v>
          </cell>
          <cell r="G48" t="str">
            <v>Humanas</v>
          </cell>
          <cell r="H48">
            <v>12</v>
          </cell>
          <cell r="I48">
            <v>19</v>
          </cell>
          <cell r="J48">
            <v>277.58266800000001</v>
          </cell>
          <cell r="K48">
            <v>5274.0706920000002</v>
          </cell>
          <cell r="L48">
            <v>0.45</v>
          </cell>
          <cell r="M48">
            <v>137.4</v>
          </cell>
          <cell r="N48">
            <v>2610.6</v>
          </cell>
          <cell r="O48">
            <v>0.50501232303163834</v>
          </cell>
          <cell r="P48">
            <v>0.5</v>
          </cell>
          <cell r="Q48">
            <v>124.91</v>
          </cell>
        </row>
        <row r="49">
          <cell r="F49" t="str">
            <v>ESPECIALIZAÇÃO EM DIREITO PÚBLICO E ADMINISTRAÇÃO PÚBLICA</v>
          </cell>
          <cell r="G49" t="str">
            <v>Humanas</v>
          </cell>
          <cell r="H49">
            <v>12</v>
          </cell>
          <cell r="I49">
            <v>19</v>
          </cell>
          <cell r="J49">
            <v>184.28091221052631</v>
          </cell>
          <cell r="K49">
            <v>3501.3373320000001</v>
          </cell>
          <cell r="L49">
            <v>0.45</v>
          </cell>
          <cell r="M49">
            <v>91.22</v>
          </cell>
          <cell r="N49">
            <v>1733.18</v>
          </cell>
          <cell r="O49">
            <v>0.50499485320656334</v>
          </cell>
          <cell r="P49">
            <v>0.5</v>
          </cell>
          <cell r="Q49">
            <v>82.93</v>
          </cell>
        </row>
        <row r="50">
          <cell r="F50" t="str">
            <v>ESPECIALIZAÇÃO EM DIREITO PÚBLICO E ORGANIZAÇÃO PÚBLICA</v>
          </cell>
          <cell r="G50" t="str">
            <v>Humanas</v>
          </cell>
          <cell r="H50">
            <v>6</v>
          </cell>
          <cell r="I50">
            <v>13</v>
          </cell>
          <cell r="J50">
            <v>405.70905000000005</v>
          </cell>
          <cell r="K50">
            <v>5274.2176500000005</v>
          </cell>
          <cell r="L50">
            <v>0.45</v>
          </cell>
          <cell r="M50">
            <v>200.83</v>
          </cell>
          <cell r="N50">
            <v>2610.79</v>
          </cell>
          <cell r="O50">
            <v>0.50499009080522117</v>
          </cell>
          <cell r="P50">
            <v>0.5</v>
          </cell>
          <cell r="Q50">
            <v>182.57</v>
          </cell>
        </row>
        <row r="51">
          <cell r="F51" t="str">
            <v>ESPECIALIZAÇÃO EM DOCÊNCIA DA EDUCAÇÃO SUPERIOR</v>
          </cell>
          <cell r="G51" t="str">
            <v>Humanas</v>
          </cell>
          <cell r="H51">
            <v>6</v>
          </cell>
          <cell r="I51">
            <v>13</v>
          </cell>
          <cell r="J51">
            <v>269.33202599999998</v>
          </cell>
          <cell r="K51">
            <v>3501.3163379999996</v>
          </cell>
          <cell r="L51">
            <v>0.45</v>
          </cell>
          <cell r="M51">
            <v>133.32</v>
          </cell>
          <cell r="N51">
            <v>1733.1599999999999</v>
          </cell>
          <cell r="O51">
            <v>0.50499759727794125</v>
          </cell>
          <cell r="P51">
            <v>0.5</v>
          </cell>
          <cell r="Q51">
            <v>121.2</v>
          </cell>
        </row>
        <row r="52">
          <cell r="F52" t="str">
            <v>ESPECIALIZAÇÃO EM DOCÊNCIA DO ENSINO SUPERIOR</v>
          </cell>
          <cell r="G52" t="str">
            <v>Humanas</v>
          </cell>
          <cell r="H52">
            <v>12</v>
          </cell>
          <cell r="I52">
            <v>19</v>
          </cell>
          <cell r="J52">
            <v>184.28091221052631</v>
          </cell>
          <cell r="K52">
            <v>3501.3373320000001</v>
          </cell>
          <cell r="L52">
            <v>0.45</v>
          </cell>
          <cell r="M52">
            <v>91.22</v>
          </cell>
          <cell r="N52">
            <v>1733.18</v>
          </cell>
          <cell r="O52">
            <v>0.50499485320656334</v>
          </cell>
          <cell r="P52">
            <v>0.5</v>
          </cell>
          <cell r="Q52">
            <v>82.93</v>
          </cell>
        </row>
        <row r="53">
          <cell r="F53" t="str">
            <v>ESPECIALIZAÇÃO EM DOCÊNCIA E GESTÃO DO ENSINO SUPERIOR</v>
          </cell>
          <cell r="G53" t="str">
            <v>Humanas</v>
          </cell>
          <cell r="H53">
            <v>12</v>
          </cell>
          <cell r="I53">
            <v>19</v>
          </cell>
          <cell r="J53">
            <v>184.28091221052631</v>
          </cell>
          <cell r="K53">
            <v>3501.3373320000001</v>
          </cell>
          <cell r="L53">
            <v>0.45</v>
          </cell>
          <cell r="M53">
            <v>91.22</v>
          </cell>
          <cell r="N53">
            <v>1733.18</v>
          </cell>
          <cell r="O53">
            <v>0.50499485320656334</v>
          </cell>
          <cell r="P53">
            <v>0.5</v>
          </cell>
          <cell r="Q53">
            <v>82.93</v>
          </cell>
        </row>
        <row r="54">
          <cell r="F54" t="str">
            <v>ESPECIALIZAÇÃO EM EDUCAÇÃO AMBIENTAL</v>
          </cell>
          <cell r="G54" t="str">
            <v>Humanas</v>
          </cell>
          <cell r="H54">
            <v>12</v>
          </cell>
          <cell r="I54">
            <v>19</v>
          </cell>
          <cell r="J54">
            <v>184.28091221052631</v>
          </cell>
          <cell r="K54">
            <v>3501.3373320000001</v>
          </cell>
          <cell r="L54">
            <v>0.45</v>
          </cell>
          <cell r="M54">
            <v>91.22</v>
          </cell>
          <cell r="N54">
            <v>1733.18</v>
          </cell>
          <cell r="O54">
            <v>0.50499485320656334</v>
          </cell>
          <cell r="P54">
            <v>0.5</v>
          </cell>
          <cell r="Q54">
            <v>82.93</v>
          </cell>
        </row>
        <row r="55">
          <cell r="F55" t="str">
            <v>ESPECIALIZAÇÃO EM EDUCAÇÃO EM MEIO AMBIENTE</v>
          </cell>
          <cell r="G55" t="str">
            <v>Humanas</v>
          </cell>
          <cell r="H55">
            <v>6</v>
          </cell>
          <cell r="I55">
            <v>13</v>
          </cell>
          <cell r="J55">
            <v>269.33202599999998</v>
          </cell>
          <cell r="K55">
            <v>3501.3163379999996</v>
          </cell>
          <cell r="L55">
            <v>0.45</v>
          </cell>
          <cell r="M55">
            <v>133.32</v>
          </cell>
          <cell r="N55">
            <v>1733.1599999999999</v>
          </cell>
          <cell r="O55">
            <v>0.50499759727794125</v>
          </cell>
          <cell r="P55">
            <v>0.5</v>
          </cell>
          <cell r="Q55">
            <v>121.2</v>
          </cell>
        </row>
        <row r="56">
          <cell r="F56" t="str">
            <v>ESPECIALIZAÇÃO EM EDUCAÇÃO ESPECIAL</v>
          </cell>
          <cell r="G56" t="str">
            <v>Humanas</v>
          </cell>
          <cell r="H56">
            <v>12</v>
          </cell>
          <cell r="I56">
            <v>19</v>
          </cell>
          <cell r="J56">
            <v>184.28091221052631</v>
          </cell>
          <cell r="K56">
            <v>3501.3373320000001</v>
          </cell>
          <cell r="L56">
            <v>0.45</v>
          </cell>
          <cell r="M56">
            <v>91.22</v>
          </cell>
          <cell r="N56">
            <v>1733.18</v>
          </cell>
          <cell r="O56">
            <v>0.50499485320656334</v>
          </cell>
          <cell r="P56">
            <v>0.5</v>
          </cell>
          <cell r="Q56">
            <v>82.93</v>
          </cell>
        </row>
        <row r="57">
          <cell r="F57" t="str">
            <v>ESPECIALIZAÇÃO EM EDUCAÇÃO ESPECIAL E INCLUSIVA</v>
          </cell>
          <cell r="G57" t="str">
            <v>Humanas</v>
          </cell>
          <cell r="H57">
            <v>6</v>
          </cell>
          <cell r="I57">
            <v>13</v>
          </cell>
          <cell r="J57">
            <v>269.33202599999998</v>
          </cell>
          <cell r="K57">
            <v>3501.3163379999996</v>
          </cell>
          <cell r="L57">
            <v>0.45</v>
          </cell>
          <cell r="M57">
            <v>133.32</v>
          </cell>
          <cell r="N57">
            <v>1733.1599999999999</v>
          </cell>
          <cell r="O57">
            <v>0.50499759727794125</v>
          </cell>
          <cell r="P57">
            <v>0.5</v>
          </cell>
          <cell r="Q57">
            <v>121.2</v>
          </cell>
        </row>
        <row r="58">
          <cell r="F58" t="str">
            <v>ESPECIALIZAÇÃO EM EDUCAÇÃO FINANCEIRA</v>
          </cell>
          <cell r="G58" t="str">
            <v>Humanas</v>
          </cell>
          <cell r="H58">
            <v>12</v>
          </cell>
          <cell r="I58">
            <v>19</v>
          </cell>
          <cell r="J58">
            <v>184.28091221052631</v>
          </cell>
          <cell r="K58">
            <v>3501.3373320000001</v>
          </cell>
          <cell r="L58">
            <v>0.45</v>
          </cell>
          <cell r="M58">
            <v>91.22</v>
          </cell>
          <cell r="N58">
            <v>1733.18</v>
          </cell>
          <cell r="O58">
            <v>0.50499485320656334</v>
          </cell>
          <cell r="P58">
            <v>0.5</v>
          </cell>
          <cell r="Q58">
            <v>82.93</v>
          </cell>
        </row>
        <row r="59">
          <cell r="F59" t="str">
            <v>ESPECIALIZAÇÃO EM EDUCAÇÃO INFANTIL</v>
          </cell>
          <cell r="G59" t="str">
            <v>Humanas</v>
          </cell>
          <cell r="H59">
            <v>12</v>
          </cell>
          <cell r="I59">
            <v>19</v>
          </cell>
          <cell r="J59">
            <v>184.28091221052631</v>
          </cell>
          <cell r="K59">
            <v>3501.3373320000001</v>
          </cell>
          <cell r="L59">
            <v>0.45</v>
          </cell>
          <cell r="M59">
            <v>91.22</v>
          </cell>
          <cell r="N59">
            <v>1733.18</v>
          </cell>
          <cell r="O59">
            <v>0.50499485320656334</v>
          </cell>
          <cell r="P59">
            <v>0.5</v>
          </cell>
          <cell r="Q59">
            <v>82.93</v>
          </cell>
        </row>
        <row r="60">
          <cell r="F60" t="str">
            <v>ESPECIALIZAÇÃO EM EDUCAÇÃO INFANTIL E ALFABETIZAÇÃO</v>
          </cell>
          <cell r="G60" t="str">
            <v>Humanas</v>
          </cell>
          <cell r="H60">
            <v>6</v>
          </cell>
          <cell r="I60">
            <v>13</v>
          </cell>
          <cell r="J60">
            <v>269.33202599999998</v>
          </cell>
          <cell r="K60">
            <v>3501.3163379999996</v>
          </cell>
          <cell r="L60">
            <v>0.45</v>
          </cell>
          <cell r="M60">
            <v>133.32</v>
          </cell>
          <cell r="N60">
            <v>1733.1599999999999</v>
          </cell>
          <cell r="O60">
            <v>0.50499759727794125</v>
          </cell>
          <cell r="P60">
            <v>0.5</v>
          </cell>
          <cell r="Q60">
            <v>121.2</v>
          </cell>
        </row>
        <row r="61">
          <cell r="F61" t="str">
            <v>ESPECIALIZAÇÃO EM EDUCAÇÃO, JOGOS E LUDICIDADE PARA O ENSINO</v>
          </cell>
          <cell r="G61" t="str">
            <v>Humanas</v>
          </cell>
          <cell r="H61">
            <v>12</v>
          </cell>
          <cell r="I61">
            <v>19</v>
          </cell>
          <cell r="J61">
            <v>184.28091221052631</v>
          </cell>
          <cell r="K61">
            <v>3501.3373320000001</v>
          </cell>
          <cell r="L61">
            <v>0.45</v>
          </cell>
          <cell r="M61">
            <v>91.22</v>
          </cell>
          <cell r="N61">
            <v>1733.18</v>
          </cell>
          <cell r="O61">
            <v>0.50499485320656334</v>
          </cell>
          <cell r="P61">
            <v>0.5</v>
          </cell>
          <cell r="Q61">
            <v>82.93</v>
          </cell>
        </row>
        <row r="62">
          <cell r="F62" t="str">
            <v>ESPECIALIZAÇÃO EM ENFERMAGEM COM FOCO EM ONCOLOGIA</v>
          </cell>
          <cell r="G62" t="str">
            <v>Saúde</v>
          </cell>
          <cell r="H62">
            <v>6</v>
          </cell>
          <cell r="I62">
            <v>13</v>
          </cell>
          <cell r="J62">
            <v>405.70905000000005</v>
          </cell>
          <cell r="K62">
            <v>5274.2176500000005</v>
          </cell>
          <cell r="L62">
            <v>0.45</v>
          </cell>
          <cell r="M62">
            <v>200.83</v>
          </cell>
          <cell r="N62">
            <v>2610.79</v>
          </cell>
          <cell r="O62">
            <v>0.50499009080522117</v>
          </cell>
          <cell r="P62">
            <v>0.5</v>
          </cell>
          <cell r="Q62">
            <v>182.57</v>
          </cell>
        </row>
        <row r="63">
          <cell r="F63" t="str">
            <v>ESPECIALIZAÇÃO EM ENFERMAGEM ONCOLÓGICA</v>
          </cell>
          <cell r="G63" t="str">
            <v>Saúde</v>
          </cell>
          <cell r="H63">
            <v>12</v>
          </cell>
          <cell r="I63">
            <v>19</v>
          </cell>
          <cell r="J63">
            <v>277.58266800000001</v>
          </cell>
          <cell r="K63">
            <v>5274.0706920000002</v>
          </cell>
          <cell r="L63">
            <v>0.45</v>
          </cell>
          <cell r="M63">
            <v>137.4</v>
          </cell>
          <cell r="N63">
            <v>2610.6</v>
          </cell>
          <cell r="O63">
            <v>0.50501232303163834</v>
          </cell>
          <cell r="P63">
            <v>0.5</v>
          </cell>
          <cell r="Q63">
            <v>124.91</v>
          </cell>
        </row>
        <row r="64">
          <cell r="F64" t="str">
            <v>ESPECIALIZAÇÃO EM ENGENHARIA AMBIENTAL E SANEAMENTO BÁSICO</v>
          </cell>
          <cell r="G64" t="str">
            <v>Exatas</v>
          </cell>
          <cell r="H64">
            <v>6</v>
          </cell>
          <cell r="I64">
            <v>13</v>
          </cell>
          <cell r="J64">
            <v>269.33202599999998</v>
          </cell>
          <cell r="K64">
            <v>3501.3163379999996</v>
          </cell>
          <cell r="L64">
            <v>0.45</v>
          </cell>
          <cell r="M64">
            <v>133.32</v>
          </cell>
          <cell r="N64">
            <v>1733.1599999999999</v>
          </cell>
          <cell r="O64">
            <v>0.50499759727794125</v>
          </cell>
          <cell r="P64">
            <v>0.5</v>
          </cell>
          <cell r="Q64">
            <v>121.2</v>
          </cell>
        </row>
        <row r="65">
          <cell r="F65" t="str">
            <v>ESPECIALIZAÇÃO EM ENGENHARIA DE DEVOPS</v>
          </cell>
          <cell r="G65" t="str">
            <v>Exatas</v>
          </cell>
          <cell r="H65">
            <v>12</v>
          </cell>
          <cell r="I65">
            <v>19</v>
          </cell>
          <cell r="J65">
            <v>277.58266800000001</v>
          </cell>
          <cell r="K65">
            <v>5274.0706920000002</v>
          </cell>
          <cell r="L65">
            <v>0.45</v>
          </cell>
          <cell r="M65">
            <v>137.4</v>
          </cell>
          <cell r="N65">
            <v>2610.6</v>
          </cell>
          <cell r="O65">
            <v>0.50501232303163834</v>
          </cell>
          <cell r="P65">
            <v>0.5</v>
          </cell>
          <cell r="Q65">
            <v>124.91</v>
          </cell>
        </row>
        <row r="66">
          <cell r="F66" t="str">
            <v>ESPECIALIZAÇÃO EM ENGENHARIA DE OPERAÇÕES E LOGÍSTICAS</v>
          </cell>
          <cell r="G66" t="str">
            <v>Exatas</v>
          </cell>
          <cell r="H66">
            <v>6</v>
          </cell>
          <cell r="I66">
            <v>13</v>
          </cell>
          <cell r="J66">
            <v>269.33202599999998</v>
          </cell>
          <cell r="K66">
            <v>3501.3163379999996</v>
          </cell>
          <cell r="L66">
            <v>0.45</v>
          </cell>
          <cell r="M66">
            <v>133.32</v>
          </cell>
          <cell r="N66">
            <v>1733.1599999999999</v>
          </cell>
          <cell r="O66">
            <v>0.50499759727794125</v>
          </cell>
          <cell r="P66">
            <v>0.5</v>
          </cell>
          <cell r="Q66">
            <v>121.2</v>
          </cell>
        </row>
        <row r="67">
          <cell r="F67" t="str">
            <v>ESPECIALIZAÇÃO EM ENGENHARIA DE PRODUÇÃO</v>
          </cell>
          <cell r="G67" t="str">
            <v>Exatas</v>
          </cell>
          <cell r="H67">
            <v>12</v>
          </cell>
          <cell r="I67">
            <v>19</v>
          </cell>
          <cell r="J67">
            <v>184.28091221052631</v>
          </cell>
          <cell r="K67">
            <v>3501.3373320000001</v>
          </cell>
          <cell r="L67">
            <v>0.45</v>
          </cell>
          <cell r="M67">
            <v>91.22</v>
          </cell>
          <cell r="N67">
            <v>1733.18</v>
          </cell>
          <cell r="O67">
            <v>0.50499485320656334</v>
          </cell>
          <cell r="P67">
            <v>0.5</v>
          </cell>
          <cell r="Q67">
            <v>82.93</v>
          </cell>
        </row>
        <row r="68">
          <cell r="F68" t="str">
            <v>ESPECIALIZAÇÃO EM ENGENHARIA DE PRODUÇÃO E OPERAÇÕES</v>
          </cell>
          <cell r="G68" t="str">
            <v>Exatas</v>
          </cell>
          <cell r="H68">
            <v>6</v>
          </cell>
          <cell r="I68">
            <v>13</v>
          </cell>
          <cell r="J68">
            <v>269.33202599999998</v>
          </cell>
          <cell r="K68">
            <v>3501.3163379999996</v>
          </cell>
          <cell r="L68">
            <v>0.45</v>
          </cell>
          <cell r="M68">
            <v>133.32</v>
          </cell>
          <cell r="N68">
            <v>1733.1599999999999</v>
          </cell>
          <cell r="O68">
            <v>0.50499759727794125</v>
          </cell>
          <cell r="P68">
            <v>0.5</v>
          </cell>
          <cell r="Q68">
            <v>121.2</v>
          </cell>
        </row>
        <row r="69">
          <cell r="F69" t="str">
            <v>ESPECIALIZAÇÃO EM ENGENHARIA, MEIO AMBIENTE E SANEAMENTO BÁSICO</v>
          </cell>
          <cell r="G69" t="str">
            <v>Exatas</v>
          </cell>
          <cell r="H69">
            <v>12</v>
          </cell>
          <cell r="I69">
            <v>19</v>
          </cell>
          <cell r="J69">
            <v>184.28091221052631</v>
          </cell>
          <cell r="K69">
            <v>3501.3373320000001</v>
          </cell>
          <cell r="L69">
            <v>0.45</v>
          </cell>
          <cell r="M69">
            <v>91.22</v>
          </cell>
          <cell r="N69">
            <v>1733.18</v>
          </cell>
          <cell r="O69">
            <v>0.50499485320656334</v>
          </cell>
          <cell r="P69">
            <v>0.5</v>
          </cell>
          <cell r="Q69">
            <v>82.93</v>
          </cell>
        </row>
        <row r="70">
          <cell r="F70" t="str">
            <v>ESPECIALIZAÇÃO EM EPIDEMIOLOGIA E VIGILÂNCIA EM SAÚDE</v>
          </cell>
          <cell r="G70" t="str">
            <v>Saúde</v>
          </cell>
          <cell r="H70">
            <v>12</v>
          </cell>
          <cell r="I70">
            <v>19</v>
          </cell>
          <cell r="J70">
            <v>277.58266800000001</v>
          </cell>
          <cell r="K70">
            <v>5274.0706920000002</v>
          </cell>
          <cell r="L70">
            <v>0.45</v>
          </cell>
          <cell r="M70">
            <v>137.4</v>
          </cell>
          <cell r="N70">
            <v>2610.6</v>
          </cell>
          <cell r="O70">
            <v>0.50501232303163834</v>
          </cell>
          <cell r="P70">
            <v>0.5</v>
          </cell>
          <cell r="Q70">
            <v>124.91</v>
          </cell>
        </row>
        <row r="71">
          <cell r="F71" t="str">
            <v>ESPECIALIZAÇÃO EM ESTÉTICA E COSMETOLOGIA</v>
          </cell>
          <cell r="G71" t="str">
            <v>Saúde</v>
          </cell>
          <cell r="H71">
            <v>6</v>
          </cell>
          <cell r="I71">
            <v>13</v>
          </cell>
          <cell r="J71">
            <v>405.70905000000005</v>
          </cell>
          <cell r="K71">
            <v>5274.2176500000005</v>
          </cell>
          <cell r="L71">
            <v>0.45</v>
          </cell>
          <cell r="M71">
            <v>200.83</v>
          </cell>
          <cell r="N71">
            <v>2610.79</v>
          </cell>
          <cell r="O71">
            <v>0.50499009080522117</v>
          </cell>
          <cell r="P71">
            <v>0.5</v>
          </cell>
          <cell r="Q71">
            <v>182.57</v>
          </cell>
        </row>
        <row r="72">
          <cell r="F72" t="str">
            <v>ESPECIALIZAÇÃO EM ESTRATÉGIA EM SAÚDE DA FAMÍLIA</v>
          </cell>
          <cell r="G72" t="str">
            <v>Saúde</v>
          </cell>
          <cell r="H72">
            <v>6</v>
          </cell>
          <cell r="I72">
            <v>13</v>
          </cell>
          <cell r="J72">
            <v>405.70905000000005</v>
          </cell>
          <cell r="K72">
            <v>5274.2176500000005</v>
          </cell>
          <cell r="L72">
            <v>0.45</v>
          </cell>
          <cell r="M72">
            <v>200.83</v>
          </cell>
          <cell r="N72">
            <v>2610.79</v>
          </cell>
          <cell r="O72">
            <v>0.50499009080522117</v>
          </cell>
          <cell r="P72">
            <v>0.5</v>
          </cell>
          <cell r="Q72">
            <v>182.57</v>
          </cell>
        </row>
        <row r="73">
          <cell r="F73" t="str">
            <v>ESPECIALIZAÇÃO EM FARMÁCIA HOSPITALAR</v>
          </cell>
          <cell r="G73" t="str">
            <v>Saúde</v>
          </cell>
          <cell r="H73">
            <v>12</v>
          </cell>
          <cell r="I73">
            <v>19</v>
          </cell>
          <cell r="J73">
            <v>277.58266800000001</v>
          </cell>
          <cell r="K73">
            <v>5274.0706920000002</v>
          </cell>
          <cell r="L73">
            <v>0.45</v>
          </cell>
          <cell r="M73">
            <v>137.4</v>
          </cell>
          <cell r="N73">
            <v>2610.6</v>
          </cell>
          <cell r="O73">
            <v>0.50501232303163834</v>
          </cell>
          <cell r="P73">
            <v>0.5</v>
          </cell>
          <cell r="Q73">
            <v>124.91</v>
          </cell>
        </row>
        <row r="74">
          <cell r="F74" t="str">
            <v>ESPECIALIZAÇÃO EM FARMÁCIA ONCOLÓGICA</v>
          </cell>
          <cell r="G74" t="str">
            <v>Saúde</v>
          </cell>
          <cell r="H74">
            <v>12</v>
          </cell>
          <cell r="I74">
            <v>19</v>
          </cell>
          <cell r="J74">
            <v>277.58266800000001</v>
          </cell>
          <cell r="K74">
            <v>5274.0706920000002</v>
          </cell>
          <cell r="L74">
            <v>0.45</v>
          </cell>
          <cell r="M74">
            <v>137.4</v>
          </cell>
          <cell r="N74">
            <v>2610.6</v>
          </cell>
          <cell r="O74">
            <v>0.50501232303163834</v>
          </cell>
          <cell r="P74">
            <v>0.5</v>
          </cell>
          <cell r="Q74">
            <v>124.91</v>
          </cell>
        </row>
        <row r="75">
          <cell r="F75" t="str">
            <v>ESPECIALIZAÇÃO EM FARMACOLOGIA CLÍNICA</v>
          </cell>
          <cell r="G75" t="str">
            <v>Saúde</v>
          </cell>
          <cell r="H75">
            <v>12</v>
          </cell>
          <cell r="I75">
            <v>19</v>
          </cell>
          <cell r="J75">
            <v>277.58266800000001</v>
          </cell>
          <cell r="K75">
            <v>5274.0706920000002</v>
          </cell>
          <cell r="L75">
            <v>0.45</v>
          </cell>
          <cell r="M75">
            <v>137.4</v>
          </cell>
          <cell r="N75">
            <v>2610.6</v>
          </cell>
          <cell r="O75">
            <v>0.50501232303163834</v>
          </cell>
          <cell r="P75">
            <v>0.5</v>
          </cell>
          <cell r="Q75">
            <v>124.91</v>
          </cell>
        </row>
        <row r="76">
          <cell r="F76" t="str">
            <v>ESPECIALIZAÇÃO EM FARMACOLOGIA CLÍNICA APLICADA</v>
          </cell>
          <cell r="G76" t="str">
            <v>Saúde</v>
          </cell>
          <cell r="H76">
            <v>6</v>
          </cell>
          <cell r="I76">
            <v>13</v>
          </cell>
          <cell r="J76">
            <v>405.70905000000005</v>
          </cell>
          <cell r="K76">
            <v>5274.2176500000005</v>
          </cell>
          <cell r="L76">
            <v>0.45</v>
          </cell>
          <cell r="M76">
            <v>200.83</v>
          </cell>
          <cell r="N76">
            <v>2610.79</v>
          </cell>
          <cell r="O76">
            <v>0.50499009080522117</v>
          </cell>
          <cell r="P76">
            <v>0.5</v>
          </cell>
          <cell r="Q76">
            <v>182.57</v>
          </cell>
        </row>
        <row r="77">
          <cell r="F77" t="str">
            <v>ESPECIALIZAÇÃO EM FARMACOLOGIA HOSPITALAR</v>
          </cell>
          <cell r="G77" t="str">
            <v>Saúde</v>
          </cell>
          <cell r="H77">
            <v>6</v>
          </cell>
          <cell r="I77">
            <v>13</v>
          </cell>
          <cell r="J77">
            <v>405.70905000000005</v>
          </cell>
          <cell r="K77">
            <v>5274.2176500000005</v>
          </cell>
          <cell r="L77">
            <v>0.45</v>
          </cell>
          <cell r="M77">
            <v>200.83</v>
          </cell>
          <cell r="N77">
            <v>2610.79</v>
          </cell>
          <cell r="O77">
            <v>0.50499009080522117</v>
          </cell>
          <cell r="P77">
            <v>0.5</v>
          </cell>
          <cell r="Q77">
            <v>182.57</v>
          </cell>
        </row>
        <row r="78">
          <cell r="F78" t="str">
            <v>ESPECIALIZAÇÃO EM FILOSOFIA NA EDUCAÇÃO COM ÊNFASE NO PROCESSO DE FORMAÇÃO ÉTNICO - RACIAL</v>
          </cell>
          <cell r="G78" t="str">
            <v>Humanas</v>
          </cell>
          <cell r="H78">
            <v>12</v>
          </cell>
          <cell r="I78">
            <v>19</v>
          </cell>
          <cell r="J78">
            <v>184.28091221052631</v>
          </cell>
          <cell r="K78">
            <v>3501.3373320000001</v>
          </cell>
          <cell r="L78">
            <v>0.45</v>
          </cell>
          <cell r="M78">
            <v>91.22</v>
          </cell>
          <cell r="N78">
            <v>1733.18</v>
          </cell>
          <cell r="O78">
            <v>0.50499485320656334</v>
          </cell>
          <cell r="P78">
            <v>0.5</v>
          </cell>
          <cell r="Q78">
            <v>82.93</v>
          </cell>
        </row>
        <row r="79">
          <cell r="F79" t="str">
            <v>ESPECIALIZAÇÃO EM FINANÇAS CORPORATIVAS</v>
          </cell>
          <cell r="G79" t="str">
            <v>Humanas</v>
          </cell>
          <cell r="H79">
            <v>12</v>
          </cell>
          <cell r="I79">
            <v>19</v>
          </cell>
          <cell r="J79">
            <v>184.28091221052631</v>
          </cell>
          <cell r="K79">
            <v>3501.3373320000001</v>
          </cell>
          <cell r="L79">
            <v>0.45</v>
          </cell>
          <cell r="M79">
            <v>91.22</v>
          </cell>
          <cell r="N79">
            <v>1733.18</v>
          </cell>
          <cell r="O79">
            <v>0.50499485320656334</v>
          </cell>
          <cell r="P79">
            <v>0.5</v>
          </cell>
          <cell r="Q79">
            <v>82.93</v>
          </cell>
        </row>
        <row r="80">
          <cell r="F80" t="str">
            <v>ESPECIALIZAÇÃO EM FINANÇAS PARA EMPRESAS</v>
          </cell>
          <cell r="G80" t="str">
            <v>Humanas</v>
          </cell>
          <cell r="H80">
            <v>6</v>
          </cell>
          <cell r="I80">
            <v>13</v>
          </cell>
          <cell r="J80">
            <v>269.33202599999998</v>
          </cell>
          <cell r="K80">
            <v>3501.3163379999996</v>
          </cell>
          <cell r="L80">
            <v>0.45</v>
          </cell>
          <cell r="M80">
            <v>133.32</v>
          </cell>
          <cell r="N80">
            <v>1733.1599999999999</v>
          </cell>
          <cell r="O80">
            <v>0.50499759727794125</v>
          </cell>
          <cell r="P80">
            <v>0.5</v>
          </cell>
          <cell r="Q80">
            <v>121.2</v>
          </cell>
        </row>
        <row r="81">
          <cell r="F81" t="str">
            <v>ESPECIALIZAÇÃO EM FISIOTERAPIA EM GERIATRIA E GERONTOLOGIA</v>
          </cell>
          <cell r="G81" t="str">
            <v>Saúde</v>
          </cell>
          <cell r="H81">
            <v>12</v>
          </cell>
          <cell r="I81">
            <v>19</v>
          </cell>
          <cell r="J81">
            <v>277.58266800000001</v>
          </cell>
          <cell r="K81">
            <v>5274.0706920000002</v>
          </cell>
          <cell r="L81">
            <v>0.45</v>
          </cell>
          <cell r="M81">
            <v>137.4</v>
          </cell>
          <cell r="N81">
            <v>2610.6</v>
          </cell>
          <cell r="O81">
            <v>0.50501232303163834</v>
          </cell>
          <cell r="P81">
            <v>0.5</v>
          </cell>
          <cell r="Q81">
            <v>124.91</v>
          </cell>
        </row>
        <row r="82">
          <cell r="F82" t="str">
            <v>ESPECIALIZAÇÃO EM FISIOTERAPIA EM GERONTOLOGIA E GERIATRIA</v>
          </cell>
          <cell r="G82" t="str">
            <v>Saúde</v>
          </cell>
          <cell r="H82">
            <v>6</v>
          </cell>
          <cell r="I82">
            <v>13</v>
          </cell>
          <cell r="J82">
            <v>405.70905000000005</v>
          </cell>
          <cell r="K82">
            <v>5274.2176500000005</v>
          </cell>
          <cell r="L82">
            <v>0.45</v>
          </cell>
          <cell r="M82">
            <v>200.83</v>
          </cell>
          <cell r="N82">
            <v>2610.79</v>
          </cell>
          <cell r="O82">
            <v>0.50499009080522117</v>
          </cell>
          <cell r="P82">
            <v>0.5</v>
          </cell>
          <cell r="Q82">
            <v>182.57</v>
          </cell>
        </row>
        <row r="83">
          <cell r="F83" t="str">
            <v>ESPECIALIZAÇÃO EM FITOTERÁPICOS E SUPLEMENTAÇÃO NUTRICIONAL APLICADA AO ESPORTE</v>
          </cell>
          <cell r="G83" t="str">
            <v>Saúde</v>
          </cell>
          <cell r="H83">
            <v>6</v>
          </cell>
          <cell r="I83">
            <v>13</v>
          </cell>
          <cell r="J83">
            <v>405.70905000000005</v>
          </cell>
          <cell r="K83">
            <v>5274.2176500000005</v>
          </cell>
          <cell r="L83">
            <v>0.45</v>
          </cell>
          <cell r="M83">
            <v>200.83</v>
          </cell>
          <cell r="N83">
            <v>2610.79</v>
          </cell>
          <cell r="O83">
            <v>0.50499009080522117</v>
          </cell>
          <cell r="P83">
            <v>0.5</v>
          </cell>
          <cell r="Q83">
            <v>182.57</v>
          </cell>
        </row>
        <row r="84">
          <cell r="F84" t="str">
            <v>ESPECIALIZAÇÃO EM FUNDAMENTOS DA EDUCAÇÃO SOCIAL E ANTROPOLOGIA</v>
          </cell>
          <cell r="G84" t="str">
            <v>Humanas</v>
          </cell>
          <cell r="H84">
            <v>6</v>
          </cell>
          <cell r="I84">
            <v>13</v>
          </cell>
          <cell r="J84">
            <v>269.33202599999998</v>
          </cell>
          <cell r="K84">
            <v>3501.3163379999996</v>
          </cell>
          <cell r="L84">
            <v>0.45</v>
          </cell>
          <cell r="M84">
            <v>133.32</v>
          </cell>
          <cell r="N84">
            <v>1733.1599999999999</v>
          </cell>
          <cell r="O84">
            <v>0.50499759727794125</v>
          </cell>
          <cell r="P84">
            <v>0.5</v>
          </cell>
          <cell r="Q84">
            <v>121.2</v>
          </cell>
        </row>
        <row r="85">
          <cell r="F85" t="str">
            <v>ESPECIALIZAÇÃO EM GERENCIAMENTO DE PROJETOS DE ARQUITETURA</v>
          </cell>
          <cell r="G85" t="str">
            <v>Humanas</v>
          </cell>
          <cell r="H85">
            <v>6</v>
          </cell>
          <cell r="I85">
            <v>13</v>
          </cell>
          <cell r="J85">
            <v>269.33202599999998</v>
          </cell>
          <cell r="K85">
            <v>3501.3163379999996</v>
          </cell>
          <cell r="L85">
            <v>0.45</v>
          </cell>
          <cell r="M85">
            <v>133.32</v>
          </cell>
          <cell r="N85">
            <v>1733.1599999999999</v>
          </cell>
          <cell r="O85">
            <v>0.50499759727794125</v>
          </cell>
          <cell r="P85">
            <v>0.5</v>
          </cell>
          <cell r="Q85">
            <v>121.2</v>
          </cell>
        </row>
        <row r="86">
          <cell r="F86" t="str">
            <v>ESPECIALIZAÇÃO EM GERENCIAMENTO DE TI</v>
          </cell>
          <cell r="G86" t="str">
            <v>Negócios</v>
          </cell>
          <cell r="H86">
            <v>6</v>
          </cell>
          <cell r="I86">
            <v>13</v>
          </cell>
          <cell r="J86">
            <v>405.70905000000005</v>
          </cell>
          <cell r="K86">
            <v>5274.2176500000005</v>
          </cell>
          <cell r="L86">
            <v>0.45</v>
          </cell>
          <cell r="M86">
            <v>200.83</v>
          </cell>
          <cell r="N86">
            <v>2610.79</v>
          </cell>
          <cell r="O86">
            <v>0.50499009080522117</v>
          </cell>
          <cell r="P86">
            <v>0.5</v>
          </cell>
          <cell r="Q86">
            <v>182.57</v>
          </cell>
        </row>
        <row r="87">
          <cell r="F87" t="str">
            <v>ESPECIALIZAÇÃO EM GESTÃO CONTÁBIL</v>
          </cell>
          <cell r="G87" t="str">
            <v>Exatas</v>
          </cell>
          <cell r="H87">
            <v>12</v>
          </cell>
          <cell r="I87">
            <v>19</v>
          </cell>
          <cell r="J87">
            <v>184.28091221052631</v>
          </cell>
          <cell r="K87">
            <v>3501.3373320000001</v>
          </cell>
          <cell r="L87">
            <v>0.45</v>
          </cell>
          <cell r="M87">
            <v>91.22</v>
          </cell>
          <cell r="N87">
            <v>1733.18</v>
          </cell>
          <cell r="O87">
            <v>0.50499485320656334</v>
          </cell>
          <cell r="P87">
            <v>0.5</v>
          </cell>
          <cell r="Q87">
            <v>82.93</v>
          </cell>
        </row>
        <row r="88">
          <cell r="F88" t="str">
            <v>ESPECIALIZAÇÃO EM GESTÃO DA EDUCAÇÃO</v>
          </cell>
          <cell r="G88" t="str">
            <v>Humanas</v>
          </cell>
          <cell r="H88">
            <v>12</v>
          </cell>
          <cell r="I88">
            <v>19</v>
          </cell>
          <cell r="J88">
            <v>184.28091221052631</v>
          </cell>
          <cell r="K88">
            <v>3501.3373320000001</v>
          </cell>
          <cell r="L88">
            <v>0.45</v>
          </cell>
          <cell r="M88">
            <v>91.22</v>
          </cell>
          <cell r="N88">
            <v>1733.18</v>
          </cell>
          <cell r="O88">
            <v>0.50499485320656334</v>
          </cell>
          <cell r="P88">
            <v>0.5</v>
          </cell>
          <cell r="Q88">
            <v>82.93</v>
          </cell>
        </row>
        <row r="89">
          <cell r="F89" t="str">
            <v>ESPECIALIZAÇÃO EM GESTÃO DA QUALIDADE E AUDITORIA</v>
          </cell>
          <cell r="G89" t="str">
            <v>Humanas</v>
          </cell>
          <cell r="H89">
            <v>6</v>
          </cell>
          <cell r="I89">
            <v>13</v>
          </cell>
          <cell r="J89">
            <v>269.33202599999998</v>
          </cell>
          <cell r="K89">
            <v>3501.3163379999996</v>
          </cell>
          <cell r="L89">
            <v>0.45</v>
          </cell>
          <cell r="M89">
            <v>133.32</v>
          </cell>
          <cell r="N89">
            <v>1733.1599999999999</v>
          </cell>
          <cell r="O89">
            <v>0.50499759727794125</v>
          </cell>
          <cell r="P89">
            <v>0.5</v>
          </cell>
          <cell r="Q89">
            <v>121.2</v>
          </cell>
        </row>
        <row r="90">
          <cell r="F90" t="str">
            <v>ESPECIALIZAÇÃO EM GESTÃO DA QUALIDADE E SEGURANÇA ALIMENTAR</v>
          </cell>
          <cell r="G90" t="str">
            <v>Humanas</v>
          </cell>
          <cell r="H90">
            <v>6</v>
          </cell>
          <cell r="I90">
            <v>13</v>
          </cell>
          <cell r="J90">
            <v>269.33202599999998</v>
          </cell>
          <cell r="K90">
            <v>3501.3163379999996</v>
          </cell>
          <cell r="L90">
            <v>0.45</v>
          </cell>
          <cell r="M90">
            <v>133.32</v>
          </cell>
          <cell r="N90">
            <v>1733.1599999999999</v>
          </cell>
          <cell r="O90">
            <v>0.50499759727794125</v>
          </cell>
          <cell r="P90">
            <v>0.5</v>
          </cell>
          <cell r="Q90">
            <v>121.2</v>
          </cell>
        </row>
        <row r="91">
          <cell r="F91" t="str">
            <v>ESPECIALIZAÇÃO EM GESTÃO DA QUALIDADE E SEGURANÇA DOS ALIMENTOS</v>
          </cell>
          <cell r="G91" t="str">
            <v>Humanas</v>
          </cell>
          <cell r="H91">
            <v>12</v>
          </cell>
          <cell r="I91">
            <v>19</v>
          </cell>
          <cell r="J91">
            <v>184.28091221052631</v>
          </cell>
          <cell r="K91">
            <v>3501.3373320000001</v>
          </cell>
          <cell r="L91">
            <v>0.45</v>
          </cell>
          <cell r="M91">
            <v>91.22</v>
          </cell>
          <cell r="N91">
            <v>1733.18</v>
          </cell>
          <cell r="O91">
            <v>0.50499485320656334</v>
          </cell>
          <cell r="P91">
            <v>0.5</v>
          </cell>
          <cell r="Q91">
            <v>82.93</v>
          </cell>
        </row>
        <row r="92">
          <cell r="F92" t="str">
            <v>ESPECIALIZAÇÃO EM GESTÃO DA QUALIDADE EM PROCESSOS, PRODUTOS E SERVIÇOS</v>
          </cell>
          <cell r="G92" t="str">
            <v>Exatas</v>
          </cell>
          <cell r="H92">
            <v>12</v>
          </cell>
          <cell r="I92">
            <v>19</v>
          </cell>
          <cell r="J92">
            <v>184.28091221052631</v>
          </cell>
          <cell r="K92">
            <v>3501.3373320000001</v>
          </cell>
          <cell r="L92">
            <v>0.45</v>
          </cell>
          <cell r="M92">
            <v>91.22</v>
          </cell>
          <cell r="N92">
            <v>1733.18</v>
          </cell>
          <cell r="O92">
            <v>0.50499485320656334</v>
          </cell>
          <cell r="P92">
            <v>0.5</v>
          </cell>
          <cell r="Q92">
            <v>82.93</v>
          </cell>
        </row>
        <row r="93">
          <cell r="F93" t="str">
            <v>ESPECIALIZAÇÃO EM GESTÃO DA TECNOLOGIA DA INFORMAÇÃO</v>
          </cell>
          <cell r="G93" t="str">
            <v>Exatas</v>
          </cell>
          <cell r="H93">
            <v>12</v>
          </cell>
          <cell r="I93">
            <v>19</v>
          </cell>
          <cell r="J93">
            <v>277.58266800000001</v>
          </cell>
          <cell r="K93">
            <v>5274.0706920000002</v>
          </cell>
          <cell r="L93">
            <v>0.45</v>
          </cell>
          <cell r="M93">
            <v>137.4</v>
          </cell>
          <cell r="N93">
            <v>2610.6</v>
          </cell>
          <cell r="O93">
            <v>0.50501232303163834</v>
          </cell>
          <cell r="P93">
            <v>0.5</v>
          </cell>
          <cell r="Q93">
            <v>124.91</v>
          </cell>
        </row>
        <row r="94">
          <cell r="F94" t="str">
            <v>ESPECIALIZAÇÃO EM GESTÃO DE CONTRATOS PÚBLICOS</v>
          </cell>
          <cell r="G94" t="str">
            <v>Humanas</v>
          </cell>
          <cell r="H94">
            <v>12</v>
          </cell>
          <cell r="I94">
            <v>19</v>
          </cell>
          <cell r="J94">
            <v>184.28091221052631</v>
          </cell>
          <cell r="K94">
            <v>3501.3373320000001</v>
          </cell>
          <cell r="L94">
            <v>0.45</v>
          </cell>
          <cell r="M94">
            <v>91.22</v>
          </cell>
          <cell r="N94">
            <v>1733.18</v>
          </cell>
          <cell r="O94">
            <v>0.50499485320656334</v>
          </cell>
          <cell r="P94">
            <v>0.5</v>
          </cell>
          <cell r="Q94">
            <v>82.93</v>
          </cell>
        </row>
        <row r="95">
          <cell r="F95" t="str">
            <v>ESPECIALIZAÇÃO EM GESTÃO DE DEPARTAMENTO PESSOAL</v>
          </cell>
          <cell r="G95" t="str">
            <v>Exatas</v>
          </cell>
          <cell r="H95">
            <v>6</v>
          </cell>
          <cell r="I95">
            <v>13</v>
          </cell>
          <cell r="J95">
            <v>269.33202599999998</v>
          </cell>
          <cell r="K95">
            <v>3501.3163379999996</v>
          </cell>
          <cell r="L95">
            <v>0.45</v>
          </cell>
          <cell r="M95">
            <v>133.32</v>
          </cell>
          <cell r="N95">
            <v>1733.1599999999999</v>
          </cell>
          <cell r="O95">
            <v>0.50499759727794125</v>
          </cell>
          <cell r="P95">
            <v>0.5</v>
          </cell>
          <cell r="Q95">
            <v>121.2</v>
          </cell>
        </row>
        <row r="96">
          <cell r="F96" t="str">
            <v>ESPECIALIZAÇÃO EM GESTÃO DE PROJETOS COM ÊNFASE NA ARQUITETURA</v>
          </cell>
          <cell r="G96" t="str">
            <v>Humanas</v>
          </cell>
          <cell r="H96">
            <v>12</v>
          </cell>
          <cell r="I96">
            <v>19</v>
          </cell>
          <cell r="J96">
            <v>184.28091221052631</v>
          </cell>
          <cell r="K96">
            <v>3501.3373320000001</v>
          </cell>
          <cell r="L96">
            <v>0.45</v>
          </cell>
          <cell r="M96">
            <v>91.22</v>
          </cell>
          <cell r="N96">
            <v>1733.18</v>
          </cell>
          <cell r="O96">
            <v>0.50499485320656334</v>
          </cell>
          <cell r="P96">
            <v>0.5</v>
          </cell>
          <cell r="Q96">
            <v>82.93</v>
          </cell>
        </row>
        <row r="97">
          <cell r="F97" t="str">
            <v>ESPECIALIZAÇÃO EM GESTÃO E DIREITO APLICADO AOS SERVIÇOS DE SAÚDE PÚBLICA</v>
          </cell>
          <cell r="G97" t="str">
            <v>Humanas</v>
          </cell>
          <cell r="H97">
            <v>12</v>
          </cell>
          <cell r="I97">
            <v>19</v>
          </cell>
          <cell r="J97">
            <v>184.28091221052631</v>
          </cell>
          <cell r="K97">
            <v>3501.3373320000001</v>
          </cell>
          <cell r="L97">
            <v>0.45</v>
          </cell>
          <cell r="M97">
            <v>91.22</v>
          </cell>
          <cell r="N97">
            <v>1733.18</v>
          </cell>
          <cell r="O97">
            <v>0.50499485320656334</v>
          </cell>
          <cell r="P97">
            <v>0.5</v>
          </cell>
          <cell r="Q97">
            <v>82.93</v>
          </cell>
        </row>
        <row r="98">
          <cell r="F98" t="str">
            <v>ESPECIALIZAÇÃO EM GESTÃO E DIREITO DE SERVIÇOS DE SAÚDE PÚBLICA</v>
          </cell>
          <cell r="G98" t="str">
            <v>Humanas</v>
          </cell>
          <cell r="H98">
            <v>6</v>
          </cell>
          <cell r="I98">
            <v>13</v>
          </cell>
          <cell r="J98">
            <v>269.33202599999998</v>
          </cell>
          <cell r="K98">
            <v>3501.3163379999996</v>
          </cell>
          <cell r="L98">
            <v>0.45</v>
          </cell>
          <cell r="M98">
            <v>133.32</v>
          </cell>
          <cell r="N98">
            <v>1733.1599999999999</v>
          </cell>
          <cell r="O98">
            <v>0.50499759727794125</v>
          </cell>
          <cell r="P98">
            <v>0.5</v>
          </cell>
          <cell r="Q98">
            <v>121.2</v>
          </cell>
        </row>
        <row r="99">
          <cell r="F99" t="str">
            <v>ESPECIALIZAÇÃO EM GESTÃO EDUCACIONAL</v>
          </cell>
          <cell r="G99" t="str">
            <v>Humanas</v>
          </cell>
          <cell r="H99">
            <v>6</v>
          </cell>
          <cell r="I99">
            <v>13</v>
          </cell>
          <cell r="J99">
            <v>269.33202599999998</v>
          </cell>
          <cell r="K99">
            <v>3501.3163379999996</v>
          </cell>
          <cell r="L99">
            <v>0.45</v>
          </cell>
          <cell r="M99">
            <v>133.32</v>
          </cell>
          <cell r="N99">
            <v>1733.1599999999999</v>
          </cell>
          <cell r="O99">
            <v>0.50499759727794125</v>
          </cell>
          <cell r="P99">
            <v>0.5</v>
          </cell>
          <cell r="Q99">
            <v>121.2</v>
          </cell>
        </row>
        <row r="100">
          <cell r="F100" t="str">
            <v>ESPECIALIZAÇÃO EM GESTÃO EM ENGENHARIA DE PRODUÇÃO</v>
          </cell>
          <cell r="G100" t="str">
            <v>Exatas</v>
          </cell>
          <cell r="H100">
            <v>6</v>
          </cell>
          <cell r="I100">
            <v>13</v>
          </cell>
          <cell r="J100">
            <v>269.33202599999998</v>
          </cell>
          <cell r="K100">
            <v>3501.3163379999996</v>
          </cell>
          <cell r="L100">
            <v>0.45</v>
          </cell>
          <cell r="M100">
            <v>133.32</v>
          </cell>
          <cell r="N100">
            <v>1733.1599999999999</v>
          </cell>
          <cell r="O100">
            <v>0.50499759727794125</v>
          </cell>
          <cell r="P100">
            <v>0.5</v>
          </cell>
          <cell r="Q100">
            <v>121.2</v>
          </cell>
        </row>
        <row r="101">
          <cell r="F101" t="str">
            <v>ESPECIALIZAÇÃO EM GESTÃO EM PROCESSOS GERENCIAIS</v>
          </cell>
          <cell r="G101" t="str">
            <v>Negócios</v>
          </cell>
          <cell r="H101">
            <v>12</v>
          </cell>
          <cell r="I101">
            <v>19</v>
          </cell>
          <cell r="J101">
            <v>184.28091221052631</v>
          </cell>
          <cell r="K101">
            <v>3501.3373320000001</v>
          </cell>
          <cell r="L101">
            <v>0.45</v>
          </cell>
          <cell r="M101">
            <v>91.22</v>
          </cell>
          <cell r="N101">
            <v>1733.18</v>
          </cell>
          <cell r="O101">
            <v>0.50499485320656334</v>
          </cell>
          <cell r="P101">
            <v>0.5</v>
          </cell>
          <cell r="Q101">
            <v>82.93</v>
          </cell>
        </row>
        <row r="102">
          <cell r="F102" t="str">
            <v>ESPECIALIZAÇÃO EM GESTÃO EM SAÚDE PÚBLICA</v>
          </cell>
          <cell r="G102" t="str">
            <v>Saúde</v>
          </cell>
          <cell r="H102">
            <v>12</v>
          </cell>
          <cell r="I102">
            <v>19</v>
          </cell>
          <cell r="J102">
            <v>277.58266800000001</v>
          </cell>
          <cell r="K102">
            <v>5274.0706920000002</v>
          </cell>
          <cell r="L102">
            <v>0.45</v>
          </cell>
          <cell r="M102">
            <v>137.4</v>
          </cell>
          <cell r="N102">
            <v>2610.6</v>
          </cell>
          <cell r="O102">
            <v>0.50501232303163834</v>
          </cell>
          <cell r="P102">
            <v>0.5</v>
          </cell>
          <cell r="Q102">
            <v>124.91</v>
          </cell>
        </row>
        <row r="103">
          <cell r="F103" t="str">
            <v>ESPECIALIZAÇÃO EM GESTÃO ESCOLAR</v>
          </cell>
          <cell r="G103" t="str">
            <v>Humanas</v>
          </cell>
          <cell r="H103">
            <v>12</v>
          </cell>
          <cell r="I103">
            <v>19</v>
          </cell>
          <cell r="J103">
            <v>184.28091221052631</v>
          </cell>
          <cell r="K103">
            <v>3501.3373320000001</v>
          </cell>
          <cell r="L103">
            <v>0.45</v>
          </cell>
          <cell r="M103">
            <v>91.22</v>
          </cell>
          <cell r="N103">
            <v>1733.18</v>
          </cell>
          <cell r="O103">
            <v>0.50499485320656334</v>
          </cell>
          <cell r="P103">
            <v>0.5</v>
          </cell>
          <cell r="Q103">
            <v>82.93</v>
          </cell>
        </row>
        <row r="104">
          <cell r="F104" t="str">
            <v>ESPECIALIZAÇÃO EM GESTÃO PEDAGÓGICA NO ENSINO SUPERIOR</v>
          </cell>
          <cell r="G104" t="str">
            <v>Humanas</v>
          </cell>
          <cell r="H104">
            <v>6</v>
          </cell>
          <cell r="I104">
            <v>13</v>
          </cell>
          <cell r="J104">
            <v>269.33202599999998</v>
          </cell>
          <cell r="K104">
            <v>3501.3163379999996</v>
          </cell>
          <cell r="L104">
            <v>0.45</v>
          </cell>
          <cell r="M104">
            <v>133.32</v>
          </cell>
          <cell r="N104">
            <v>1733.1599999999999</v>
          </cell>
          <cell r="O104">
            <v>0.50499759727794125</v>
          </cell>
          <cell r="P104">
            <v>0.5</v>
          </cell>
          <cell r="Q104">
            <v>121.2</v>
          </cell>
        </row>
        <row r="105">
          <cell r="F105" t="str">
            <v>ESPECIALIZAÇÃO EM INFLUENCIADOR DIGITAL</v>
          </cell>
          <cell r="G105" t="str">
            <v>Humanas</v>
          </cell>
          <cell r="H105">
            <v>6</v>
          </cell>
          <cell r="I105">
            <v>13</v>
          </cell>
          <cell r="J105">
            <v>269.33202599999998</v>
          </cell>
          <cell r="K105">
            <v>3501.3163379999996</v>
          </cell>
          <cell r="L105">
            <v>0.45</v>
          </cell>
          <cell r="M105">
            <v>133.32</v>
          </cell>
          <cell r="N105">
            <v>1733.1599999999999</v>
          </cell>
          <cell r="O105">
            <v>0.50499759727794125</v>
          </cell>
          <cell r="P105">
            <v>0.5</v>
          </cell>
          <cell r="Q105">
            <v>121.2</v>
          </cell>
        </row>
        <row r="106">
          <cell r="F106" t="str">
            <v>ESPECIALIZAÇÃO EM INOVAÇÃO DE MÍDIAS DIGITAIS</v>
          </cell>
          <cell r="G106" t="str">
            <v>Humanas</v>
          </cell>
          <cell r="H106">
            <v>6</v>
          </cell>
          <cell r="I106">
            <v>13</v>
          </cell>
          <cell r="J106">
            <v>269.33202599999998</v>
          </cell>
          <cell r="K106">
            <v>3501.3163379999996</v>
          </cell>
          <cell r="L106">
            <v>0.45</v>
          </cell>
          <cell r="M106">
            <v>133.32</v>
          </cell>
          <cell r="N106">
            <v>1733.1599999999999</v>
          </cell>
          <cell r="O106">
            <v>0.50499759727794125</v>
          </cell>
          <cell r="P106">
            <v>0.5</v>
          </cell>
          <cell r="Q106">
            <v>121.2</v>
          </cell>
        </row>
        <row r="107">
          <cell r="F107" t="str">
            <v>ESPECIALIZAÇÃO EM INOVAÇÃO E TRANSFORMAÇÃO DIGITAL</v>
          </cell>
          <cell r="G107" t="str">
            <v>Exatas</v>
          </cell>
          <cell r="H107">
            <v>12</v>
          </cell>
          <cell r="I107">
            <v>19</v>
          </cell>
          <cell r="J107">
            <v>184.28091221052631</v>
          </cell>
          <cell r="K107">
            <v>3501.3373320000001</v>
          </cell>
          <cell r="L107">
            <v>0.45</v>
          </cell>
          <cell r="M107">
            <v>91.22</v>
          </cell>
          <cell r="N107">
            <v>1733.18</v>
          </cell>
          <cell r="O107">
            <v>0.50499485320656334</v>
          </cell>
          <cell r="P107">
            <v>0.5</v>
          </cell>
          <cell r="Q107">
            <v>82.93</v>
          </cell>
        </row>
        <row r="108">
          <cell r="F108" t="str">
            <v>ESPECIALIZAÇÃO EM INTELIGÊNCIA ARTIFICIAL APLICADA AO NEGÓCIO</v>
          </cell>
          <cell r="G108" t="str">
            <v>Exatas</v>
          </cell>
          <cell r="H108">
            <v>6</v>
          </cell>
          <cell r="I108">
            <v>13</v>
          </cell>
          <cell r="J108">
            <v>405.70905000000005</v>
          </cell>
          <cell r="K108">
            <v>5274.2176500000005</v>
          </cell>
          <cell r="L108">
            <v>0.45</v>
          </cell>
          <cell r="M108">
            <v>200.83</v>
          </cell>
          <cell r="N108">
            <v>2610.79</v>
          </cell>
          <cell r="O108">
            <v>0.50499009080522117</v>
          </cell>
          <cell r="P108">
            <v>0.5</v>
          </cell>
          <cell r="Q108">
            <v>182.57</v>
          </cell>
        </row>
        <row r="109">
          <cell r="F109" t="str">
            <v>ESPECIALIZAÇÃO EM INTELIGÊNCIA E SEGURANÇA PÚBLICA</v>
          </cell>
          <cell r="G109" t="str">
            <v>Humanas</v>
          </cell>
          <cell r="H109">
            <v>6</v>
          </cell>
          <cell r="I109">
            <v>13</v>
          </cell>
          <cell r="J109">
            <v>269.33202599999998</v>
          </cell>
          <cell r="K109">
            <v>3501.3163379999996</v>
          </cell>
          <cell r="L109">
            <v>0.45</v>
          </cell>
          <cell r="M109">
            <v>133.32</v>
          </cell>
          <cell r="N109">
            <v>1733.1599999999999</v>
          </cell>
          <cell r="O109">
            <v>0.50499759727794125</v>
          </cell>
          <cell r="P109">
            <v>0.5</v>
          </cell>
          <cell r="Q109">
            <v>121.2</v>
          </cell>
        </row>
        <row r="110">
          <cell r="F110" t="str">
            <v>ESPECIALIZAÇÃO EM INTERNET DAS COISAS (IOT): CONEXÃO ENTRE DISPOSITIVOS, MÁQUINAS E PESSOAS</v>
          </cell>
          <cell r="G110" t="str">
            <v>Exatas</v>
          </cell>
          <cell r="H110">
            <v>6</v>
          </cell>
          <cell r="I110">
            <v>13</v>
          </cell>
          <cell r="J110">
            <v>405.70905000000005</v>
          </cell>
          <cell r="K110">
            <v>5274.2176500000005</v>
          </cell>
          <cell r="L110">
            <v>0.45</v>
          </cell>
          <cell r="M110">
            <v>200.83</v>
          </cell>
          <cell r="N110">
            <v>2610.79</v>
          </cell>
          <cell r="O110">
            <v>0.50499009080522117</v>
          </cell>
          <cell r="P110">
            <v>0.5</v>
          </cell>
          <cell r="Q110">
            <v>182.57</v>
          </cell>
        </row>
        <row r="111">
          <cell r="F111" t="str">
            <v>ESPECIALIZAÇÃO EM IoT: INTERAÇÃO ENTRE DISPOSITIVOS, MÁQUINAS E PESSOAS</v>
          </cell>
          <cell r="G111" t="str">
            <v>Negócios</v>
          </cell>
          <cell r="H111">
            <v>12</v>
          </cell>
          <cell r="I111">
            <v>19</v>
          </cell>
          <cell r="J111">
            <v>277.58266800000001</v>
          </cell>
          <cell r="K111">
            <v>5274.0706920000002</v>
          </cell>
          <cell r="L111">
            <v>0.45</v>
          </cell>
          <cell r="M111">
            <v>137.4</v>
          </cell>
          <cell r="N111">
            <v>2610.6</v>
          </cell>
          <cell r="O111">
            <v>0.50501232303163834</v>
          </cell>
          <cell r="P111">
            <v>0.5</v>
          </cell>
          <cell r="Q111">
            <v>124.91</v>
          </cell>
        </row>
        <row r="112">
          <cell r="F112" t="str">
            <v>ESPECIALIZAÇÃO EM LEGISLAÇÃO ELEITORAL</v>
          </cell>
          <cell r="G112" t="str">
            <v>Humanas</v>
          </cell>
          <cell r="H112">
            <v>6</v>
          </cell>
          <cell r="I112">
            <v>13</v>
          </cell>
          <cell r="J112">
            <v>405.70905000000005</v>
          </cell>
          <cell r="K112">
            <v>5274.2176500000005</v>
          </cell>
          <cell r="L112">
            <v>0.45</v>
          </cell>
          <cell r="M112">
            <v>200.83</v>
          </cell>
          <cell r="N112">
            <v>2610.79</v>
          </cell>
          <cell r="O112">
            <v>0.50499009080522117</v>
          </cell>
          <cell r="P112">
            <v>0.5</v>
          </cell>
          <cell r="Q112">
            <v>182.57</v>
          </cell>
        </row>
        <row r="113">
          <cell r="F113" t="str">
            <v>ESPECIALIZAÇÃO EM LÍNGUA PORTUGUESA - REDAÇÃO</v>
          </cell>
          <cell r="G113" t="str">
            <v>Humanas</v>
          </cell>
          <cell r="H113">
            <v>6</v>
          </cell>
          <cell r="I113">
            <v>13</v>
          </cell>
          <cell r="J113">
            <v>269.33202599999998</v>
          </cell>
          <cell r="K113">
            <v>3501.3163379999996</v>
          </cell>
          <cell r="L113">
            <v>0.45</v>
          </cell>
          <cell r="M113">
            <v>133.32</v>
          </cell>
          <cell r="N113">
            <v>1733.1599999999999</v>
          </cell>
          <cell r="O113">
            <v>0.50499759727794125</v>
          </cell>
          <cell r="P113">
            <v>0.5</v>
          </cell>
          <cell r="Q113">
            <v>121.2</v>
          </cell>
        </row>
        <row r="114">
          <cell r="F114" t="str">
            <v>ESPECIALIZAÇÃO EM LÍNGUA PORTUGUESA: REDAÇÃO E ORATÓRIA</v>
          </cell>
          <cell r="G114" t="str">
            <v>Humanas</v>
          </cell>
          <cell r="H114">
            <v>12</v>
          </cell>
          <cell r="I114">
            <v>19</v>
          </cell>
          <cell r="J114">
            <v>184.28091221052631</v>
          </cell>
          <cell r="K114">
            <v>3501.3373320000001</v>
          </cell>
          <cell r="L114">
            <v>0.45</v>
          </cell>
          <cell r="M114">
            <v>91.22</v>
          </cell>
          <cell r="N114">
            <v>1733.18</v>
          </cell>
          <cell r="O114">
            <v>0.50499485320656334</v>
          </cell>
          <cell r="P114">
            <v>0.5</v>
          </cell>
          <cell r="Q114">
            <v>82.93</v>
          </cell>
        </row>
        <row r="115">
          <cell r="F115" t="str">
            <v>ESPECIALIZAÇÃO EM LUDICIDADE APLICADA EM EDUCAÇÃO</v>
          </cell>
          <cell r="G115" t="str">
            <v>Humanas</v>
          </cell>
          <cell r="H115">
            <v>6</v>
          </cell>
          <cell r="I115">
            <v>13</v>
          </cell>
          <cell r="J115">
            <v>269.33202599999998</v>
          </cell>
          <cell r="K115">
            <v>3501.3163379999996</v>
          </cell>
          <cell r="L115">
            <v>0.45</v>
          </cell>
          <cell r="M115">
            <v>133.32</v>
          </cell>
          <cell r="N115">
            <v>1733.1599999999999</v>
          </cell>
          <cell r="O115">
            <v>0.50499759727794125</v>
          </cell>
          <cell r="P115">
            <v>0.5</v>
          </cell>
          <cell r="Q115">
            <v>121.2</v>
          </cell>
        </row>
        <row r="116">
          <cell r="F116" t="str">
            <v>ESPECIALIZAÇÃO EM MARKETING</v>
          </cell>
          <cell r="G116" t="str">
            <v>Humanas</v>
          </cell>
          <cell r="H116">
            <v>6</v>
          </cell>
          <cell r="I116">
            <v>13</v>
          </cell>
          <cell r="J116">
            <v>269.33202599999998</v>
          </cell>
          <cell r="K116">
            <v>3501.3163379999996</v>
          </cell>
          <cell r="L116">
            <v>0.45</v>
          </cell>
          <cell r="M116">
            <v>133.32</v>
          </cell>
          <cell r="N116">
            <v>1733.1599999999999</v>
          </cell>
          <cell r="O116">
            <v>0.50499759727794125</v>
          </cell>
          <cell r="P116">
            <v>0.5</v>
          </cell>
          <cell r="Q116">
            <v>121.2</v>
          </cell>
        </row>
        <row r="117">
          <cell r="F117" t="str">
            <v>ESPECIALIZAÇÃO EM MARKETING DIGITAL E MÍDIAS SOCIAIS</v>
          </cell>
          <cell r="G117" t="str">
            <v>Humanas</v>
          </cell>
          <cell r="H117">
            <v>6</v>
          </cell>
          <cell r="I117">
            <v>13</v>
          </cell>
          <cell r="J117">
            <v>269.33202599999998</v>
          </cell>
          <cell r="K117">
            <v>3501.3163379999996</v>
          </cell>
          <cell r="L117">
            <v>0.45</v>
          </cell>
          <cell r="M117">
            <v>133.32</v>
          </cell>
          <cell r="N117">
            <v>1733.1599999999999</v>
          </cell>
          <cell r="O117">
            <v>0.50499759727794125</v>
          </cell>
          <cell r="P117">
            <v>0.5</v>
          </cell>
          <cell r="Q117">
            <v>121.2</v>
          </cell>
        </row>
        <row r="118">
          <cell r="F118" t="str">
            <v>ESPECIALIZAÇÃO EM MARKETING E MÍDIAS SOCIAIS</v>
          </cell>
          <cell r="G118" t="str">
            <v>Humanas</v>
          </cell>
          <cell r="H118">
            <v>12</v>
          </cell>
          <cell r="I118">
            <v>19</v>
          </cell>
          <cell r="J118">
            <v>184.28091221052631</v>
          </cell>
          <cell r="K118">
            <v>3501.3373320000001</v>
          </cell>
          <cell r="L118">
            <v>0.45</v>
          </cell>
          <cell r="M118">
            <v>91.22</v>
          </cell>
          <cell r="N118">
            <v>1733.18</v>
          </cell>
          <cell r="O118">
            <v>0.50499485320656334</v>
          </cell>
          <cell r="P118">
            <v>0.5</v>
          </cell>
          <cell r="Q118">
            <v>82.93</v>
          </cell>
        </row>
        <row r="119">
          <cell r="F119" t="str">
            <v>ESPECIALIZAÇÃO EM MARKETING E PUBLICIDADE</v>
          </cell>
          <cell r="G119" t="str">
            <v>Humanas</v>
          </cell>
          <cell r="H119">
            <v>12</v>
          </cell>
          <cell r="I119">
            <v>19</v>
          </cell>
          <cell r="J119">
            <v>184.28091221052631</v>
          </cell>
          <cell r="K119">
            <v>3501.3373320000001</v>
          </cell>
          <cell r="L119">
            <v>0.45</v>
          </cell>
          <cell r="M119">
            <v>91.22</v>
          </cell>
          <cell r="N119">
            <v>1733.18</v>
          </cell>
          <cell r="O119">
            <v>0.50499485320656334</v>
          </cell>
          <cell r="P119">
            <v>0.5</v>
          </cell>
          <cell r="Q119">
            <v>82.93</v>
          </cell>
        </row>
        <row r="120">
          <cell r="F120" t="str">
            <v>ESPECIALIZAÇÃO EM MEDIAÇÃO E GESTÃO DE CONFLITOS ESCOLAR</v>
          </cell>
          <cell r="G120" t="str">
            <v>Humanas</v>
          </cell>
          <cell r="H120">
            <v>12</v>
          </cell>
          <cell r="I120">
            <v>19</v>
          </cell>
          <cell r="J120">
            <v>184.28091221052631</v>
          </cell>
          <cell r="K120">
            <v>3501.3373320000001</v>
          </cell>
          <cell r="L120">
            <v>0.45</v>
          </cell>
          <cell r="M120">
            <v>91.22</v>
          </cell>
          <cell r="N120">
            <v>1733.18</v>
          </cell>
          <cell r="O120">
            <v>0.50499485320656334</v>
          </cell>
          <cell r="P120">
            <v>0.5</v>
          </cell>
          <cell r="Q120">
            <v>82.93</v>
          </cell>
        </row>
        <row r="121">
          <cell r="F121" t="str">
            <v>ESPECIALIZAÇÃO EM MENTORIA EM EDUCAÇÃO FINANCEIRA</v>
          </cell>
          <cell r="G121" t="str">
            <v>Humanas</v>
          </cell>
          <cell r="H121">
            <v>6</v>
          </cell>
          <cell r="I121">
            <v>13</v>
          </cell>
          <cell r="J121">
            <v>269.33202599999998</v>
          </cell>
          <cell r="K121">
            <v>3501.3163379999996</v>
          </cell>
          <cell r="L121">
            <v>0.45</v>
          </cell>
          <cell r="M121">
            <v>133.32</v>
          </cell>
          <cell r="N121">
            <v>1733.1599999999999</v>
          </cell>
          <cell r="O121">
            <v>0.50499759727794125</v>
          </cell>
          <cell r="P121">
            <v>0.5</v>
          </cell>
          <cell r="Q121">
            <v>121.2</v>
          </cell>
        </row>
        <row r="122">
          <cell r="F122" t="str">
            <v>ESPECIALIZAÇÃO EM METODOLOGIA DO ENS. A DISTÂNCIA</v>
          </cell>
          <cell r="G122" t="str">
            <v>Humanas</v>
          </cell>
          <cell r="H122">
            <v>12</v>
          </cell>
          <cell r="I122">
            <v>19</v>
          </cell>
          <cell r="J122">
            <v>184.28091221052631</v>
          </cell>
          <cell r="K122">
            <v>3501.3373320000001</v>
          </cell>
          <cell r="L122">
            <v>0.45</v>
          </cell>
          <cell r="M122">
            <v>91.22</v>
          </cell>
          <cell r="N122">
            <v>1733.18</v>
          </cell>
          <cell r="O122">
            <v>0.50499485320656334</v>
          </cell>
          <cell r="P122">
            <v>0.5</v>
          </cell>
          <cell r="Q122">
            <v>82.93</v>
          </cell>
        </row>
        <row r="123">
          <cell r="F123" t="str">
            <v>ESPECIALIZAÇÃO EM METODOLOGIA DO ENSINO DA LÍNGUA PORTUGUESA</v>
          </cell>
          <cell r="G123" t="str">
            <v>Humanas</v>
          </cell>
          <cell r="H123">
            <v>6</v>
          </cell>
          <cell r="I123">
            <v>13</v>
          </cell>
          <cell r="J123">
            <v>269.33202599999998</v>
          </cell>
          <cell r="K123">
            <v>3501.3163379999996</v>
          </cell>
          <cell r="L123">
            <v>0.45</v>
          </cell>
          <cell r="M123">
            <v>133.32</v>
          </cell>
          <cell r="N123">
            <v>1733.1599999999999</v>
          </cell>
          <cell r="O123">
            <v>0.50499759727794125</v>
          </cell>
          <cell r="P123">
            <v>0.5</v>
          </cell>
          <cell r="Q123">
            <v>121.2</v>
          </cell>
        </row>
        <row r="124">
          <cell r="F124" t="str">
            <v>ESPECIALIZAÇÃO EM METODOLOGIA E DIDÁTICA DO ENSINO DA GEOGRAFIA</v>
          </cell>
          <cell r="G124" t="str">
            <v>Humanas</v>
          </cell>
          <cell r="H124">
            <v>6</v>
          </cell>
          <cell r="I124">
            <v>13</v>
          </cell>
          <cell r="J124">
            <v>269.33202599999998</v>
          </cell>
          <cell r="K124">
            <v>3501.3163379999996</v>
          </cell>
          <cell r="L124">
            <v>0.45</v>
          </cell>
          <cell r="M124">
            <v>133.32</v>
          </cell>
          <cell r="N124">
            <v>1733.1599999999999</v>
          </cell>
          <cell r="O124">
            <v>0.50499759727794125</v>
          </cell>
          <cell r="P124">
            <v>0.5</v>
          </cell>
          <cell r="Q124">
            <v>121.2</v>
          </cell>
        </row>
        <row r="125">
          <cell r="F125" t="str">
            <v>ESPECIALIZAÇÃO EM METODOLOGIAS ATIVAS</v>
          </cell>
          <cell r="G125" t="str">
            <v>Humanas</v>
          </cell>
          <cell r="H125">
            <v>12</v>
          </cell>
          <cell r="I125">
            <v>19</v>
          </cell>
          <cell r="J125">
            <v>184.28091221052631</v>
          </cell>
          <cell r="K125">
            <v>3501.3373320000001</v>
          </cell>
          <cell r="L125">
            <v>0.45</v>
          </cell>
          <cell r="M125">
            <v>91.22</v>
          </cell>
          <cell r="N125">
            <v>1733.18</v>
          </cell>
          <cell r="O125">
            <v>0.50499485320656334</v>
          </cell>
          <cell r="P125">
            <v>0.5</v>
          </cell>
          <cell r="Q125">
            <v>82.93</v>
          </cell>
        </row>
        <row r="126">
          <cell r="F126" t="str">
            <v>ESPECIALIZAÇÃO EM METODOLOGIAS ATIVAS COMO PRÁTICAS INOVADORAS NA EDUCAÇÃO</v>
          </cell>
          <cell r="G126" t="str">
            <v>Humanas</v>
          </cell>
          <cell r="H126">
            <v>6</v>
          </cell>
          <cell r="I126">
            <v>13</v>
          </cell>
          <cell r="J126">
            <v>269.33202599999998</v>
          </cell>
          <cell r="K126">
            <v>3501.3163379999996</v>
          </cell>
          <cell r="L126">
            <v>0.45</v>
          </cell>
          <cell r="M126">
            <v>133.32</v>
          </cell>
          <cell r="N126">
            <v>1733.1599999999999</v>
          </cell>
          <cell r="O126">
            <v>0.50499759727794125</v>
          </cell>
          <cell r="P126">
            <v>0.5</v>
          </cell>
          <cell r="Q126">
            <v>121.2</v>
          </cell>
        </row>
        <row r="127">
          <cell r="F127" t="str">
            <v>ESPECIALIZAÇÃO EM METODOLOGIAS DA EDUCAÇÃO A DISTÂNCIA</v>
          </cell>
          <cell r="G127" t="str">
            <v>Humanas</v>
          </cell>
          <cell r="H127">
            <v>6</v>
          </cell>
          <cell r="I127">
            <v>13</v>
          </cell>
          <cell r="J127">
            <v>269.33202599999998</v>
          </cell>
          <cell r="K127">
            <v>3501.3163379999996</v>
          </cell>
          <cell r="L127">
            <v>0.45</v>
          </cell>
          <cell r="M127">
            <v>133.32</v>
          </cell>
          <cell r="N127">
            <v>1733.1599999999999</v>
          </cell>
          <cell r="O127">
            <v>0.50499759727794125</v>
          </cell>
          <cell r="P127">
            <v>0.5</v>
          </cell>
          <cell r="Q127">
            <v>121.2</v>
          </cell>
        </row>
        <row r="128">
          <cell r="F128" t="str">
            <v>ESPECIALIZAÇÃO EM MICROBIOLOGIA E PARASITOLOGIA CLÍNICA</v>
          </cell>
          <cell r="G128" t="str">
            <v>Saúde</v>
          </cell>
          <cell r="H128">
            <v>6</v>
          </cell>
          <cell r="I128">
            <v>13</v>
          </cell>
          <cell r="J128">
            <v>405.70905000000005</v>
          </cell>
          <cell r="K128">
            <v>5274.2176500000005</v>
          </cell>
          <cell r="L128">
            <v>0.45</v>
          </cell>
          <cell r="M128">
            <v>200.83</v>
          </cell>
          <cell r="N128">
            <v>2610.79</v>
          </cell>
          <cell r="O128">
            <v>0.50499009080522117</v>
          </cell>
          <cell r="P128">
            <v>0.5</v>
          </cell>
          <cell r="Q128">
            <v>182.57</v>
          </cell>
        </row>
        <row r="129">
          <cell r="F129" t="str">
            <v>ESPECIALIZAÇÃO EM MICROBIOLOGIA, PARASITOLOGIA E MICOLOGIA CLÍNICA</v>
          </cell>
          <cell r="G129" t="str">
            <v>Saúde</v>
          </cell>
          <cell r="H129">
            <v>12</v>
          </cell>
          <cell r="I129">
            <v>19</v>
          </cell>
          <cell r="J129">
            <v>277.58266800000001</v>
          </cell>
          <cell r="K129">
            <v>5274.0706920000002</v>
          </cell>
          <cell r="L129">
            <v>0.45</v>
          </cell>
          <cell r="M129">
            <v>137.4</v>
          </cell>
          <cell r="N129">
            <v>2610.6</v>
          </cell>
          <cell r="O129">
            <v>0.50501232303163834</v>
          </cell>
          <cell r="P129">
            <v>0.5</v>
          </cell>
          <cell r="Q129">
            <v>124.91</v>
          </cell>
        </row>
        <row r="130">
          <cell r="F130" t="str">
            <v>ESPECIALIZAÇÃO EM NEUROEDUCAÇÃO</v>
          </cell>
          <cell r="G130" t="str">
            <v>Humanas</v>
          </cell>
          <cell r="H130">
            <v>12</v>
          </cell>
          <cell r="I130">
            <v>19</v>
          </cell>
          <cell r="J130">
            <v>184.28091221052631</v>
          </cell>
          <cell r="K130">
            <v>3501.3373320000001</v>
          </cell>
          <cell r="L130">
            <v>0.45</v>
          </cell>
          <cell r="M130">
            <v>91.22</v>
          </cell>
          <cell r="N130">
            <v>1733.18</v>
          </cell>
          <cell r="O130">
            <v>0.50499485320656334</v>
          </cell>
          <cell r="P130">
            <v>0.5</v>
          </cell>
          <cell r="Q130">
            <v>82.93</v>
          </cell>
        </row>
        <row r="131">
          <cell r="F131" t="str">
            <v>ESPECIALIZAÇÃO EM NOVAS MÍDIAS</v>
          </cell>
          <cell r="G131" t="str">
            <v>Exatas</v>
          </cell>
          <cell r="H131">
            <v>12</v>
          </cell>
          <cell r="I131">
            <v>19</v>
          </cell>
          <cell r="J131">
            <v>184.28091221052631</v>
          </cell>
          <cell r="K131">
            <v>3501.3373320000001</v>
          </cell>
          <cell r="L131">
            <v>0.45</v>
          </cell>
          <cell r="M131">
            <v>91.22</v>
          </cell>
          <cell r="N131">
            <v>1733.18</v>
          </cell>
          <cell r="O131">
            <v>0.50499485320656334</v>
          </cell>
          <cell r="P131">
            <v>0.5</v>
          </cell>
          <cell r="Q131">
            <v>82.93</v>
          </cell>
        </row>
        <row r="132">
          <cell r="F132" t="str">
            <v>ESPECIALIZAÇÃO EM NUTRIÇÃO CLÍNICA</v>
          </cell>
          <cell r="G132" t="str">
            <v>Saúde</v>
          </cell>
          <cell r="H132">
            <v>12</v>
          </cell>
          <cell r="I132">
            <v>19</v>
          </cell>
          <cell r="J132">
            <v>277.58266800000001</v>
          </cell>
          <cell r="K132">
            <v>5274.0706920000002</v>
          </cell>
          <cell r="L132">
            <v>0.45</v>
          </cell>
          <cell r="M132">
            <v>137.4</v>
          </cell>
          <cell r="N132">
            <v>2610.6</v>
          </cell>
          <cell r="O132">
            <v>0.50501232303163834</v>
          </cell>
          <cell r="P132">
            <v>0.5</v>
          </cell>
          <cell r="Q132">
            <v>124.91</v>
          </cell>
        </row>
        <row r="133">
          <cell r="F133" t="str">
            <v>ESPECIALIZAÇÃO EM NUTRIÇÃO E DIETOTERAPIA</v>
          </cell>
          <cell r="G133" t="str">
            <v>Saúde</v>
          </cell>
          <cell r="H133">
            <v>6</v>
          </cell>
          <cell r="I133">
            <v>13</v>
          </cell>
          <cell r="J133">
            <v>405.70905000000005</v>
          </cell>
          <cell r="K133">
            <v>5274.2176500000005</v>
          </cell>
          <cell r="L133">
            <v>0.45</v>
          </cell>
          <cell r="M133">
            <v>200.83</v>
          </cell>
          <cell r="N133">
            <v>2610.79</v>
          </cell>
          <cell r="O133">
            <v>0.50499009080522117</v>
          </cell>
          <cell r="P133">
            <v>0.5</v>
          </cell>
          <cell r="Q133">
            <v>182.57</v>
          </cell>
        </row>
        <row r="134">
          <cell r="F134" t="str">
            <v>ESPECIALIZAÇÃO EM NUTRIÇÃO E ESPORTES</v>
          </cell>
          <cell r="G134" t="str">
            <v>Saúde</v>
          </cell>
          <cell r="H134">
            <v>6</v>
          </cell>
          <cell r="I134">
            <v>13</v>
          </cell>
          <cell r="J134">
            <v>405.70905000000005</v>
          </cell>
          <cell r="K134">
            <v>5274.2176500000005</v>
          </cell>
          <cell r="L134">
            <v>0.45</v>
          </cell>
          <cell r="M134">
            <v>200.83</v>
          </cell>
          <cell r="N134">
            <v>2610.79</v>
          </cell>
          <cell r="O134">
            <v>0.50499009080522117</v>
          </cell>
          <cell r="P134">
            <v>0.5</v>
          </cell>
          <cell r="Q134">
            <v>182.57</v>
          </cell>
        </row>
        <row r="135">
          <cell r="F135" t="str">
            <v>ESPECIALIZAÇÃO EM NUTRIÇÃO E POLÍTICAS DE NUTRIÇÃO</v>
          </cell>
          <cell r="G135" t="str">
            <v>Saúde</v>
          </cell>
          <cell r="H135">
            <v>6</v>
          </cell>
          <cell r="I135">
            <v>13</v>
          </cell>
          <cell r="J135">
            <v>405.70905000000005</v>
          </cell>
          <cell r="K135">
            <v>5274.2176500000005</v>
          </cell>
          <cell r="L135">
            <v>0.45</v>
          </cell>
          <cell r="M135">
            <v>200.83</v>
          </cell>
          <cell r="N135">
            <v>2610.79</v>
          </cell>
          <cell r="O135">
            <v>0.50499009080522117</v>
          </cell>
          <cell r="P135">
            <v>0.5</v>
          </cell>
          <cell r="Q135">
            <v>182.57</v>
          </cell>
        </row>
        <row r="136">
          <cell r="F136" t="str">
            <v>ESPECIALIZAÇÃO EM NUTRIÇÃO E SAÚDE PÚBLICA</v>
          </cell>
          <cell r="G136" t="str">
            <v>Saúde</v>
          </cell>
          <cell r="H136">
            <v>12</v>
          </cell>
          <cell r="I136">
            <v>19</v>
          </cell>
          <cell r="J136">
            <v>277.58266800000001</v>
          </cell>
          <cell r="K136">
            <v>5274.0706920000002</v>
          </cell>
          <cell r="L136">
            <v>0.45</v>
          </cell>
          <cell r="M136">
            <v>137.4</v>
          </cell>
          <cell r="N136">
            <v>2610.6</v>
          </cell>
          <cell r="O136">
            <v>0.50501232303163834</v>
          </cell>
          <cell r="P136">
            <v>0.5</v>
          </cell>
          <cell r="Q136">
            <v>124.91</v>
          </cell>
        </row>
        <row r="137">
          <cell r="F137" t="str">
            <v>ESPECIALIZAÇÃO EM NUTRIÇÃO ESPORTIVA</v>
          </cell>
          <cell r="G137" t="str">
            <v>Saúde</v>
          </cell>
          <cell r="H137">
            <v>12</v>
          </cell>
          <cell r="I137">
            <v>19</v>
          </cell>
          <cell r="J137">
            <v>277.58266800000001</v>
          </cell>
          <cell r="K137">
            <v>5274.0706920000002</v>
          </cell>
          <cell r="L137">
            <v>0.45</v>
          </cell>
          <cell r="M137">
            <v>137.4</v>
          </cell>
          <cell r="N137">
            <v>2610.6</v>
          </cell>
          <cell r="O137">
            <v>0.50501232303163834</v>
          </cell>
          <cell r="P137">
            <v>0.5</v>
          </cell>
          <cell r="Q137">
            <v>124.91</v>
          </cell>
        </row>
        <row r="138">
          <cell r="F138" t="str">
            <v>ESPECIALIZAÇÃO EM ORIENTAÇÃO E SUPERVISÃO ESCOLAR</v>
          </cell>
          <cell r="G138" t="str">
            <v>Humanas</v>
          </cell>
          <cell r="H138">
            <v>12</v>
          </cell>
          <cell r="I138">
            <v>19</v>
          </cell>
          <cell r="J138">
            <v>184.28091221052631</v>
          </cell>
          <cell r="K138">
            <v>3501.3373320000001</v>
          </cell>
          <cell r="L138">
            <v>0.45</v>
          </cell>
          <cell r="M138">
            <v>91.22</v>
          </cell>
          <cell r="N138">
            <v>1733.18</v>
          </cell>
          <cell r="O138">
            <v>0.50499485320656334</v>
          </cell>
          <cell r="P138">
            <v>0.5</v>
          </cell>
          <cell r="Q138">
            <v>82.93</v>
          </cell>
        </row>
        <row r="139">
          <cell r="F139" t="str">
            <v>ESPECIALIZAÇÃO EM PEDAGOGIA EMPRESARIAL</v>
          </cell>
          <cell r="G139" t="str">
            <v>Humanas</v>
          </cell>
          <cell r="H139">
            <v>12</v>
          </cell>
          <cell r="I139">
            <v>19</v>
          </cell>
          <cell r="J139">
            <v>184.28091221052631</v>
          </cell>
          <cell r="K139">
            <v>3501.3373320000001</v>
          </cell>
          <cell r="L139">
            <v>0.45</v>
          </cell>
          <cell r="M139">
            <v>91.22</v>
          </cell>
          <cell r="N139">
            <v>1733.18</v>
          </cell>
          <cell r="O139">
            <v>0.50499485320656334</v>
          </cell>
          <cell r="P139">
            <v>0.5</v>
          </cell>
          <cell r="Q139">
            <v>82.93</v>
          </cell>
        </row>
        <row r="140">
          <cell r="F140" t="str">
            <v>ESPECIALIZAÇÃO EM PEDAGOGIA NAS ORGANIZAÇÕES</v>
          </cell>
          <cell r="G140" t="str">
            <v>Humanas</v>
          </cell>
          <cell r="H140">
            <v>6</v>
          </cell>
          <cell r="I140">
            <v>13</v>
          </cell>
          <cell r="J140">
            <v>269.33202599999998</v>
          </cell>
          <cell r="K140">
            <v>3501.3163379999996</v>
          </cell>
          <cell r="L140">
            <v>0.45</v>
          </cell>
          <cell r="M140">
            <v>133.32</v>
          </cell>
          <cell r="N140">
            <v>1733.1599999999999</v>
          </cell>
          <cell r="O140">
            <v>0.50499759727794125</v>
          </cell>
          <cell r="P140">
            <v>0.5</v>
          </cell>
          <cell r="Q140">
            <v>121.2</v>
          </cell>
        </row>
        <row r="141">
          <cell r="F141" t="str">
            <v>ESPECIALIZAÇÃO EM PLANEJAMENTO E GESTÃO EDUCACIONAL</v>
          </cell>
          <cell r="G141" t="str">
            <v>Humanas</v>
          </cell>
          <cell r="H141">
            <v>6</v>
          </cell>
          <cell r="I141">
            <v>13</v>
          </cell>
          <cell r="J141">
            <v>269.33202599999998</v>
          </cell>
          <cell r="K141">
            <v>3501.3163379999996</v>
          </cell>
          <cell r="L141">
            <v>0.45</v>
          </cell>
          <cell r="M141">
            <v>133.32</v>
          </cell>
          <cell r="N141">
            <v>1733.1599999999999</v>
          </cell>
          <cell r="O141">
            <v>0.50499759727794125</v>
          </cell>
          <cell r="P141">
            <v>0.5</v>
          </cell>
          <cell r="Q141">
            <v>121.2</v>
          </cell>
        </row>
        <row r="142">
          <cell r="F142" t="str">
            <v>ESPECIALIZAÇÃO EM PODOLOGIA</v>
          </cell>
          <cell r="G142" t="str">
            <v>Saúde</v>
          </cell>
          <cell r="H142">
            <v>6</v>
          </cell>
          <cell r="I142">
            <v>13</v>
          </cell>
          <cell r="J142">
            <v>405.70905000000005</v>
          </cell>
          <cell r="K142">
            <v>5274.2176500000005</v>
          </cell>
          <cell r="L142">
            <v>0.45</v>
          </cell>
          <cell r="M142">
            <v>200.83</v>
          </cell>
          <cell r="N142">
            <v>2610.79</v>
          </cell>
          <cell r="O142">
            <v>0.50499009080522117</v>
          </cell>
          <cell r="P142">
            <v>0.5</v>
          </cell>
          <cell r="Q142">
            <v>182.57</v>
          </cell>
        </row>
        <row r="143">
          <cell r="F143" t="str">
            <v>ESPECIALIZAÇÃO EM PODOLOGIA CLÍNICA</v>
          </cell>
          <cell r="G143" t="str">
            <v>Saúde</v>
          </cell>
          <cell r="H143">
            <v>12</v>
          </cell>
          <cell r="I143">
            <v>19</v>
          </cell>
          <cell r="J143">
            <v>277.58266800000001</v>
          </cell>
          <cell r="K143">
            <v>5274.0706920000002</v>
          </cell>
          <cell r="L143">
            <v>0.45</v>
          </cell>
          <cell r="M143">
            <v>137.4</v>
          </cell>
          <cell r="N143">
            <v>2610.6</v>
          </cell>
          <cell r="O143">
            <v>0.50501232303163834</v>
          </cell>
          <cell r="P143">
            <v>0.5</v>
          </cell>
          <cell r="Q143">
            <v>124.91</v>
          </cell>
        </row>
        <row r="144">
          <cell r="F144" t="str">
            <v>ESPECIALIZAÇÃO EM PORTUGUÊS JURÍDICO</v>
          </cell>
          <cell r="G144" t="str">
            <v>Humanas</v>
          </cell>
          <cell r="H144">
            <v>12</v>
          </cell>
          <cell r="I144">
            <v>19</v>
          </cell>
          <cell r="J144">
            <v>184.28091221052631</v>
          </cell>
          <cell r="K144">
            <v>3501.3373320000001</v>
          </cell>
          <cell r="L144">
            <v>0.45</v>
          </cell>
          <cell r="M144">
            <v>91.22</v>
          </cell>
          <cell r="N144">
            <v>1733.18</v>
          </cell>
          <cell r="O144">
            <v>0.50499485320656334</v>
          </cell>
          <cell r="P144">
            <v>0.5</v>
          </cell>
          <cell r="Q144">
            <v>82.93</v>
          </cell>
        </row>
        <row r="145">
          <cell r="F145" t="str">
            <v>ESPECIALIZAÇÃO EM PRÁTICAS DE LETRAMENTO E ALFABETIZAÇÃO</v>
          </cell>
          <cell r="G145" t="str">
            <v>Humanas</v>
          </cell>
          <cell r="H145">
            <v>6</v>
          </cell>
          <cell r="I145">
            <v>13</v>
          </cell>
          <cell r="J145">
            <v>269.33202599999998</v>
          </cell>
          <cell r="K145">
            <v>3501.3163379999996</v>
          </cell>
          <cell r="L145">
            <v>0.45</v>
          </cell>
          <cell r="M145">
            <v>133.32</v>
          </cell>
          <cell r="N145">
            <v>1733.1599999999999</v>
          </cell>
          <cell r="O145">
            <v>0.50499759727794125</v>
          </cell>
          <cell r="P145">
            <v>0.5</v>
          </cell>
          <cell r="Q145">
            <v>121.2</v>
          </cell>
        </row>
        <row r="146">
          <cell r="F146" t="str">
            <v>ESPECIALIZAÇÃO EM PRÁTICAS MEDIADORAS DE GESTÃO DE CONFLITOS ESCOLAR</v>
          </cell>
          <cell r="G146" t="str">
            <v>Humanas</v>
          </cell>
          <cell r="H146">
            <v>6</v>
          </cell>
          <cell r="I146">
            <v>13</v>
          </cell>
          <cell r="J146">
            <v>269.33202599999998</v>
          </cell>
          <cell r="K146">
            <v>3501.3163379999996</v>
          </cell>
          <cell r="L146">
            <v>0.45</v>
          </cell>
          <cell r="M146">
            <v>133.32</v>
          </cell>
          <cell r="N146">
            <v>1733.1599999999999</v>
          </cell>
          <cell r="O146">
            <v>0.50499759727794125</v>
          </cell>
          <cell r="P146">
            <v>0.5</v>
          </cell>
          <cell r="Q146">
            <v>121.2</v>
          </cell>
        </row>
        <row r="147">
          <cell r="F147" t="str">
            <v>ESPECIALIZAÇÃO EM PRESCRIÇÃO DE FITOTERÁPICOS E SUPLEMENTAÇÃO NUTRICIONAL, CLÍNICA E ESPORTIVA</v>
          </cell>
          <cell r="G147" t="str">
            <v>Saúde</v>
          </cell>
          <cell r="H147">
            <v>12</v>
          </cell>
          <cell r="I147">
            <v>19</v>
          </cell>
          <cell r="J147">
            <v>277.58266800000001</v>
          </cell>
          <cell r="K147">
            <v>5274.0706920000002</v>
          </cell>
          <cell r="L147">
            <v>0.45</v>
          </cell>
          <cell r="M147">
            <v>137.4</v>
          </cell>
          <cell r="N147">
            <v>2610.6</v>
          </cell>
          <cell r="O147">
            <v>0.50501232303163834</v>
          </cell>
          <cell r="P147">
            <v>0.5</v>
          </cell>
          <cell r="Q147">
            <v>124.91</v>
          </cell>
        </row>
        <row r="148">
          <cell r="F148" t="str">
            <v>ESPECIALIZAÇÃO EM PROCESSOS GERENCIAIS</v>
          </cell>
          <cell r="G148" t="str">
            <v>Exatas</v>
          </cell>
          <cell r="H148">
            <v>6</v>
          </cell>
          <cell r="I148">
            <v>13</v>
          </cell>
          <cell r="J148">
            <v>269.33202599999998</v>
          </cell>
          <cell r="K148">
            <v>3501.3163379999996</v>
          </cell>
          <cell r="L148">
            <v>0.45</v>
          </cell>
          <cell r="M148">
            <v>133.32</v>
          </cell>
          <cell r="N148">
            <v>1733.1599999999999</v>
          </cell>
          <cell r="O148">
            <v>0.50499759727794125</v>
          </cell>
          <cell r="P148">
            <v>0.5</v>
          </cell>
          <cell r="Q148">
            <v>121.2</v>
          </cell>
        </row>
        <row r="149">
          <cell r="F149" t="str">
            <v>ESPECIALIZAÇÃO EM PROGRAMA NEUROEDUCATIVO</v>
          </cell>
          <cell r="G149" t="str">
            <v>Humanas</v>
          </cell>
          <cell r="H149">
            <v>6</v>
          </cell>
          <cell r="I149">
            <v>13</v>
          </cell>
          <cell r="J149">
            <v>269.33202599999998</v>
          </cell>
          <cell r="K149">
            <v>3501.3163379999996</v>
          </cell>
          <cell r="L149">
            <v>0.45</v>
          </cell>
          <cell r="M149">
            <v>133.32</v>
          </cell>
          <cell r="N149">
            <v>1733.1599999999999</v>
          </cell>
          <cell r="O149">
            <v>0.50499759727794125</v>
          </cell>
          <cell r="P149">
            <v>0.5</v>
          </cell>
          <cell r="Q149">
            <v>121.2</v>
          </cell>
        </row>
        <row r="150">
          <cell r="F150" t="str">
            <v>ESPECIALIZAÇÃO EM PROJETOS DE DESIGN DE INTERIORES</v>
          </cell>
          <cell r="G150" t="str">
            <v>Exatas</v>
          </cell>
          <cell r="H150">
            <v>6</v>
          </cell>
          <cell r="I150">
            <v>13</v>
          </cell>
          <cell r="J150">
            <v>269.33202599999998</v>
          </cell>
          <cell r="K150">
            <v>3501.3163379999996</v>
          </cell>
          <cell r="L150">
            <v>0.45</v>
          </cell>
          <cell r="M150">
            <v>133.32</v>
          </cell>
          <cell r="N150">
            <v>1733.1599999999999</v>
          </cell>
          <cell r="O150">
            <v>0.50499759727794125</v>
          </cell>
          <cell r="P150">
            <v>0.5</v>
          </cell>
          <cell r="Q150">
            <v>121.2</v>
          </cell>
        </row>
        <row r="151">
          <cell r="F151" t="str">
            <v>ESPECIALIZAÇÃO EM PROJETOS DE INTERIORES E SUSTENTABILIDADE</v>
          </cell>
          <cell r="G151" t="str">
            <v>Humanas</v>
          </cell>
          <cell r="H151">
            <v>6</v>
          </cell>
          <cell r="I151">
            <v>13</v>
          </cell>
          <cell r="J151">
            <v>269.33202599999998</v>
          </cell>
          <cell r="K151">
            <v>3501.3163379999996</v>
          </cell>
          <cell r="L151">
            <v>0.45</v>
          </cell>
          <cell r="M151">
            <v>133.32</v>
          </cell>
          <cell r="N151">
            <v>1733.1599999999999</v>
          </cell>
          <cell r="O151">
            <v>0.50499759727794125</v>
          </cell>
          <cell r="P151">
            <v>0.5</v>
          </cell>
          <cell r="Q151">
            <v>121.2</v>
          </cell>
        </row>
        <row r="152">
          <cell r="F152" t="str">
            <v>ESPECIALIZAÇÃO EM PROJETOS DE INTERIORES SUSTENTÁVEIS</v>
          </cell>
          <cell r="G152" t="str">
            <v>Humanas</v>
          </cell>
          <cell r="H152">
            <v>12</v>
          </cell>
          <cell r="I152">
            <v>19</v>
          </cell>
          <cell r="J152">
            <v>184.28091221052631</v>
          </cell>
          <cell r="K152">
            <v>3501.3373320000001</v>
          </cell>
          <cell r="L152">
            <v>0.45</v>
          </cell>
          <cell r="M152">
            <v>91.22</v>
          </cell>
          <cell r="N152">
            <v>1733.18</v>
          </cell>
          <cell r="O152">
            <v>0.50499485320656334</v>
          </cell>
          <cell r="P152">
            <v>0.5</v>
          </cell>
          <cell r="Q152">
            <v>82.93</v>
          </cell>
        </row>
        <row r="153">
          <cell r="F153" t="str">
            <v>ESPECIALIZAÇÃO EM PSICOLOGIA CLÍNICA HOSPITALAR</v>
          </cell>
          <cell r="G153" t="str">
            <v>Saúde</v>
          </cell>
          <cell r="H153">
            <v>6</v>
          </cell>
          <cell r="I153">
            <v>13</v>
          </cell>
          <cell r="J153">
            <v>405.70905000000005</v>
          </cell>
          <cell r="K153">
            <v>5274.2176500000005</v>
          </cell>
          <cell r="L153">
            <v>0.45</v>
          </cell>
          <cell r="M153">
            <v>200.83</v>
          </cell>
          <cell r="N153">
            <v>2610.79</v>
          </cell>
          <cell r="O153">
            <v>0.50499009080522117</v>
          </cell>
          <cell r="P153">
            <v>0.5</v>
          </cell>
          <cell r="Q153">
            <v>182.57</v>
          </cell>
        </row>
        <row r="154">
          <cell r="F154" t="str">
            <v>ESPECIALIZAÇÃO EM PSICOLOGIA HOSPITALAR</v>
          </cell>
          <cell r="G154" t="str">
            <v>Saúde</v>
          </cell>
          <cell r="H154">
            <v>12</v>
          </cell>
          <cell r="I154">
            <v>19</v>
          </cell>
          <cell r="J154">
            <v>277.58266800000001</v>
          </cell>
          <cell r="K154">
            <v>5274.0706920000002</v>
          </cell>
          <cell r="L154">
            <v>0.45</v>
          </cell>
          <cell r="M154">
            <v>137.4</v>
          </cell>
          <cell r="N154">
            <v>2610.6</v>
          </cell>
          <cell r="O154">
            <v>0.50501232303163834</v>
          </cell>
          <cell r="P154">
            <v>0.5</v>
          </cell>
          <cell r="Q154">
            <v>124.91</v>
          </cell>
        </row>
        <row r="155">
          <cell r="F155" t="str">
            <v>ESPECIALIZAÇÃO EM PSICOLOGIA NAS ORGANIZAÇÕES</v>
          </cell>
          <cell r="G155" t="str">
            <v>Humanas</v>
          </cell>
          <cell r="H155">
            <v>6</v>
          </cell>
          <cell r="I155">
            <v>13</v>
          </cell>
          <cell r="J155">
            <v>269.33202599999998</v>
          </cell>
          <cell r="K155">
            <v>3501.3163379999996</v>
          </cell>
          <cell r="L155">
            <v>0.45</v>
          </cell>
          <cell r="M155">
            <v>133.32</v>
          </cell>
          <cell r="N155">
            <v>1733.1599999999999</v>
          </cell>
          <cell r="O155">
            <v>0.50499759727794125</v>
          </cell>
          <cell r="P155">
            <v>0.5</v>
          </cell>
          <cell r="Q155">
            <v>121.2</v>
          </cell>
        </row>
        <row r="156">
          <cell r="F156" t="str">
            <v>ESPECIALIZAÇÃO EM PSICOLOGIA ORGANIZACIONAL</v>
          </cell>
          <cell r="G156" t="str">
            <v>Humanas</v>
          </cell>
          <cell r="H156">
            <v>12</v>
          </cell>
          <cell r="I156">
            <v>19</v>
          </cell>
          <cell r="J156">
            <v>184.28091221052631</v>
          </cell>
          <cell r="K156">
            <v>3501.3373320000001</v>
          </cell>
          <cell r="L156">
            <v>0.45</v>
          </cell>
          <cell r="M156">
            <v>91.22</v>
          </cell>
          <cell r="N156">
            <v>1733.18</v>
          </cell>
          <cell r="O156">
            <v>0.50499485320656334</v>
          </cell>
          <cell r="P156">
            <v>0.5</v>
          </cell>
          <cell r="Q156">
            <v>82.93</v>
          </cell>
        </row>
        <row r="157">
          <cell r="F157" t="str">
            <v>ESPECIALIZAÇÃO EM PSICOPEDAGOGIA COM ÊNFASE EM EDUCAÇÃO ESPECIAL</v>
          </cell>
          <cell r="G157" t="str">
            <v>Humanas</v>
          </cell>
          <cell r="H157">
            <v>12</v>
          </cell>
          <cell r="I157">
            <v>19</v>
          </cell>
          <cell r="J157">
            <v>184.28091221052631</v>
          </cell>
          <cell r="K157">
            <v>3501.3373320000001</v>
          </cell>
          <cell r="L157">
            <v>0.45</v>
          </cell>
          <cell r="M157">
            <v>91.22</v>
          </cell>
          <cell r="N157">
            <v>1733.18</v>
          </cell>
          <cell r="O157">
            <v>0.50499485320656334</v>
          </cell>
          <cell r="P157">
            <v>0.5</v>
          </cell>
          <cell r="Q157">
            <v>82.93</v>
          </cell>
        </row>
        <row r="158">
          <cell r="F158" t="str">
            <v>ESPECIALIZAÇÃO EM PSICOPEDAGOGIA EM ÂMBITO HOSPITALAR</v>
          </cell>
          <cell r="G158" t="str">
            <v>Saúde</v>
          </cell>
          <cell r="H158">
            <v>6</v>
          </cell>
          <cell r="I158">
            <v>13</v>
          </cell>
          <cell r="J158">
            <v>405.70905000000005</v>
          </cell>
          <cell r="K158">
            <v>5274.2176500000005</v>
          </cell>
          <cell r="L158">
            <v>0.45</v>
          </cell>
          <cell r="M158">
            <v>200.83</v>
          </cell>
          <cell r="N158">
            <v>2610.79</v>
          </cell>
          <cell r="O158">
            <v>0.50499009080522117</v>
          </cell>
          <cell r="P158">
            <v>0.5</v>
          </cell>
          <cell r="Q158">
            <v>182.57</v>
          </cell>
        </row>
        <row r="159">
          <cell r="F159" t="str">
            <v>ESPECIALIZAÇÃO EM PSICOPEDAGOGIA ESCOLAR</v>
          </cell>
          <cell r="G159" t="str">
            <v>Humanas</v>
          </cell>
          <cell r="H159">
            <v>12</v>
          </cell>
          <cell r="I159">
            <v>19</v>
          </cell>
          <cell r="J159">
            <v>184.28091221052631</v>
          </cell>
          <cell r="K159">
            <v>3501.3373320000001</v>
          </cell>
          <cell r="L159">
            <v>0.45</v>
          </cell>
          <cell r="M159">
            <v>91.22</v>
          </cell>
          <cell r="N159">
            <v>1733.18</v>
          </cell>
          <cell r="O159">
            <v>0.50499485320656334</v>
          </cell>
          <cell r="P159">
            <v>0.5</v>
          </cell>
          <cell r="Q159">
            <v>82.93</v>
          </cell>
        </row>
        <row r="160">
          <cell r="F160" t="str">
            <v>ESPECIALIZAÇÃO EM PSICOPEDAGOGIA HOSPITALAR</v>
          </cell>
          <cell r="G160" t="str">
            <v>Saúde</v>
          </cell>
          <cell r="H160">
            <v>12</v>
          </cell>
          <cell r="I160">
            <v>19</v>
          </cell>
          <cell r="J160">
            <v>277.58266800000001</v>
          </cell>
          <cell r="K160">
            <v>5274.0706920000002</v>
          </cell>
          <cell r="L160">
            <v>0.45</v>
          </cell>
          <cell r="M160">
            <v>137.4</v>
          </cell>
          <cell r="N160">
            <v>2610.6</v>
          </cell>
          <cell r="O160">
            <v>0.50501232303163834</v>
          </cell>
          <cell r="P160">
            <v>0.5</v>
          </cell>
          <cell r="Q160">
            <v>124.91</v>
          </cell>
        </row>
        <row r="161">
          <cell r="F161" t="str">
            <v>ESPECIALIZAÇÃO EM PSICOPEDAGOGIA NA EDUCAÇÃO ESPECIAL</v>
          </cell>
          <cell r="G161" t="str">
            <v>Humanas</v>
          </cell>
          <cell r="H161">
            <v>6</v>
          </cell>
          <cell r="I161">
            <v>13</v>
          </cell>
          <cell r="J161">
            <v>269.33202599999998</v>
          </cell>
          <cell r="K161">
            <v>3501.3163379999996</v>
          </cell>
          <cell r="L161">
            <v>0.45</v>
          </cell>
          <cell r="M161">
            <v>133.32</v>
          </cell>
          <cell r="N161">
            <v>1733.1599999999999</v>
          </cell>
          <cell r="O161">
            <v>0.50499759727794125</v>
          </cell>
          <cell r="P161">
            <v>0.5</v>
          </cell>
          <cell r="Q161">
            <v>121.2</v>
          </cell>
        </row>
        <row r="162">
          <cell r="F162" t="str">
            <v>ESPECIALIZAÇÃO EM PSICOPEDAGOGIA NA ESCOLA</v>
          </cell>
          <cell r="G162" t="str">
            <v>Humanas</v>
          </cell>
          <cell r="H162">
            <v>6</v>
          </cell>
          <cell r="I162">
            <v>13</v>
          </cell>
          <cell r="J162">
            <v>269.33202599999998</v>
          </cell>
          <cell r="K162">
            <v>3501.3163379999996</v>
          </cell>
          <cell r="L162">
            <v>0.45</v>
          </cell>
          <cell r="M162">
            <v>133.32</v>
          </cell>
          <cell r="N162">
            <v>1733.1599999999999</v>
          </cell>
          <cell r="O162">
            <v>0.50499759727794125</v>
          </cell>
          <cell r="P162">
            <v>0.5</v>
          </cell>
          <cell r="Q162">
            <v>121.2</v>
          </cell>
        </row>
        <row r="163">
          <cell r="F163" t="str">
            <v>ESPECIALIZAÇÃO EM RECRUTAMENTO TECH</v>
          </cell>
          <cell r="G163" t="str">
            <v>Exatas</v>
          </cell>
          <cell r="H163">
            <v>6</v>
          </cell>
          <cell r="I163">
            <v>13</v>
          </cell>
          <cell r="J163">
            <v>269.33202599999998</v>
          </cell>
          <cell r="K163">
            <v>3501.3163379999996</v>
          </cell>
          <cell r="L163">
            <v>0.45</v>
          </cell>
          <cell r="M163">
            <v>133.32</v>
          </cell>
          <cell r="N163">
            <v>1733.1599999999999</v>
          </cell>
          <cell r="O163">
            <v>0.50499759727794125</v>
          </cell>
          <cell r="P163">
            <v>0.5</v>
          </cell>
          <cell r="Q163">
            <v>121.2</v>
          </cell>
        </row>
        <row r="164">
          <cell r="F164" t="str">
            <v>ESPECIALIZAÇÃO EM SAÚDE DA FAMÍLIA</v>
          </cell>
          <cell r="G164" t="str">
            <v>Saúde</v>
          </cell>
          <cell r="H164">
            <v>12</v>
          </cell>
          <cell r="I164">
            <v>19</v>
          </cell>
          <cell r="J164">
            <v>277.58266800000001</v>
          </cell>
          <cell r="K164">
            <v>5274.0706920000002</v>
          </cell>
          <cell r="L164">
            <v>0.45</v>
          </cell>
          <cell r="M164">
            <v>137.4</v>
          </cell>
          <cell r="N164">
            <v>2610.6</v>
          </cell>
          <cell r="O164">
            <v>0.50501232303163834</v>
          </cell>
          <cell r="P164">
            <v>0.5</v>
          </cell>
          <cell r="Q164">
            <v>124.91</v>
          </cell>
        </row>
        <row r="165">
          <cell r="F165" t="str">
            <v>ESPECIALIZAÇÃO EM SAÚDE DO IDOSO</v>
          </cell>
          <cell r="G165" t="str">
            <v>Saúde</v>
          </cell>
          <cell r="H165">
            <v>12</v>
          </cell>
          <cell r="I165">
            <v>19</v>
          </cell>
          <cell r="J165">
            <v>277.58266800000001</v>
          </cell>
          <cell r="K165">
            <v>5274.0706920000002</v>
          </cell>
          <cell r="L165">
            <v>0.45</v>
          </cell>
          <cell r="M165">
            <v>137.4</v>
          </cell>
          <cell r="N165">
            <v>2610.6</v>
          </cell>
          <cell r="O165">
            <v>0.50501232303163834</v>
          </cell>
          <cell r="P165">
            <v>0.5</v>
          </cell>
          <cell r="Q165">
            <v>124.91</v>
          </cell>
        </row>
        <row r="166">
          <cell r="F166" t="str">
            <v>ESPECIALIZAÇÃO EM SAÚDE DO TRABALHADOR</v>
          </cell>
          <cell r="G166" t="str">
            <v>Saúde</v>
          </cell>
          <cell r="H166">
            <v>12</v>
          </cell>
          <cell r="I166">
            <v>19</v>
          </cell>
          <cell r="J166">
            <v>277.58266800000001</v>
          </cell>
          <cell r="K166">
            <v>5274.0706920000002</v>
          </cell>
          <cell r="L166">
            <v>0.45</v>
          </cell>
          <cell r="M166">
            <v>137.4</v>
          </cell>
          <cell r="N166">
            <v>2610.6</v>
          </cell>
          <cell r="O166">
            <v>0.50501232303163834</v>
          </cell>
          <cell r="P166">
            <v>0.5</v>
          </cell>
          <cell r="Q166">
            <v>124.91</v>
          </cell>
        </row>
        <row r="167">
          <cell r="F167" t="str">
            <v>ESPECIALIZAÇÃO EM SAÚDE E SEGURANÇA DO TRABALHADOR</v>
          </cell>
          <cell r="G167" t="str">
            <v>Saúde</v>
          </cell>
          <cell r="H167">
            <v>6</v>
          </cell>
          <cell r="I167">
            <v>13</v>
          </cell>
          <cell r="J167">
            <v>405.70905000000005</v>
          </cell>
          <cell r="K167">
            <v>5274.2176500000005</v>
          </cell>
          <cell r="L167">
            <v>0.45</v>
          </cell>
          <cell r="M167">
            <v>200.83</v>
          </cell>
          <cell r="N167">
            <v>2610.79</v>
          </cell>
          <cell r="O167">
            <v>0.50499009080522117</v>
          </cell>
          <cell r="P167">
            <v>0.5</v>
          </cell>
          <cell r="Q167">
            <v>182.57</v>
          </cell>
        </row>
        <row r="168">
          <cell r="F168" t="str">
            <v>ESPECIALIZAÇÃO EM SAÚDE GERIÁTRICA</v>
          </cell>
          <cell r="G168" t="str">
            <v>Saúde</v>
          </cell>
          <cell r="H168">
            <v>6</v>
          </cell>
          <cell r="I168">
            <v>13</v>
          </cell>
          <cell r="J168">
            <v>405.70905000000005</v>
          </cell>
          <cell r="K168">
            <v>5274.2176500000005</v>
          </cell>
          <cell r="L168">
            <v>0.45</v>
          </cell>
          <cell r="M168">
            <v>200.83</v>
          </cell>
          <cell r="N168">
            <v>2610.79</v>
          </cell>
          <cell r="O168">
            <v>0.50499009080522117</v>
          </cell>
          <cell r="P168">
            <v>0.5</v>
          </cell>
          <cell r="Q168">
            <v>182.57</v>
          </cell>
        </row>
        <row r="169">
          <cell r="F169" t="str">
            <v>ESPECIALIZAÇÃO EM SAÚDE PÚBLICA</v>
          </cell>
          <cell r="G169" t="str">
            <v>Saúde</v>
          </cell>
          <cell r="H169">
            <v>12</v>
          </cell>
          <cell r="I169">
            <v>19</v>
          </cell>
          <cell r="J169">
            <v>277.58266800000001</v>
          </cell>
          <cell r="K169">
            <v>5274.0706920000002</v>
          </cell>
          <cell r="L169">
            <v>0.45</v>
          </cell>
          <cell r="M169">
            <v>137.4</v>
          </cell>
          <cell r="N169">
            <v>2610.6</v>
          </cell>
          <cell r="O169">
            <v>0.50501232303163834</v>
          </cell>
          <cell r="P169">
            <v>0.5</v>
          </cell>
          <cell r="Q169">
            <v>124.91</v>
          </cell>
        </row>
        <row r="170">
          <cell r="F170" t="str">
            <v>ESPECIALIZAÇÃO EM SAÚDE PÚBLICA E COLETIVA</v>
          </cell>
          <cell r="G170" t="str">
            <v>Saúde</v>
          </cell>
          <cell r="H170">
            <v>6</v>
          </cell>
          <cell r="I170">
            <v>13</v>
          </cell>
          <cell r="J170">
            <v>405.70905000000005</v>
          </cell>
          <cell r="K170">
            <v>5274.2176500000005</v>
          </cell>
          <cell r="L170">
            <v>0.45</v>
          </cell>
          <cell r="M170">
            <v>200.83</v>
          </cell>
          <cell r="N170">
            <v>2610.79</v>
          </cell>
          <cell r="O170">
            <v>0.50499009080522117</v>
          </cell>
          <cell r="P170">
            <v>0.5</v>
          </cell>
          <cell r="Q170">
            <v>182.57</v>
          </cell>
        </row>
        <row r="171">
          <cell r="F171" t="str">
            <v>ESPECIALIZAÇÃO EM SEGURANÇA CIBERNÉTICA</v>
          </cell>
          <cell r="G171" t="str">
            <v>Exatas</v>
          </cell>
          <cell r="H171">
            <v>6</v>
          </cell>
          <cell r="I171">
            <v>13</v>
          </cell>
          <cell r="J171">
            <v>405.70905000000005</v>
          </cell>
          <cell r="K171">
            <v>5274.2176500000005</v>
          </cell>
          <cell r="L171">
            <v>0.45</v>
          </cell>
          <cell r="M171">
            <v>200.83</v>
          </cell>
          <cell r="N171">
            <v>2610.79</v>
          </cell>
          <cell r="O171">
            <v>0.50499009080522117</v>
          </cell>
          <cell r="P171">
            <v>0.5</v>
          </cell>
          <cell r="Q171">
            <v>182.57</v>
          </cell>
        </row>
        <row r="172">
          <cell r="F172" t="str">
            <v>ESPECIALIZAÇÃO EM SEGURANÇA DIGITAL</v>
          </cell>
          <cell r="G172" t="str">
            <v>Exatas</v>
          </cell>
          <cell r="H172">
            <v>6</v>
          </cell>
          <cell r="I172">
            <v>13</v>
          </cell>
          <cell r="J172">
            <v>269.33202599999998</v>
          </cell>
          <cell r="K172">
            <v>3501.3163379999996</v>
          </cell>
          <cell r="L172">
            <v>0.45</v>
          </cell>
          <cell r="M172">
            <v>133.32</v>
          </cell>
          <cell r="N172">
            <v>1733.1599999999999</v>
          </cell>
          <cell r="O172">
            <v>0.50499759727794125</v>
          </cell>
          <cell r="P172">
            <v>0.5</v>
          </cell>
          <cell r="Q172">
            <v>121.2</v>
          </cell>
        </row>
        <row r="173">
          <cell r="F173" t="str">
            <v>ESPECIALIZAÇÃO EM SEGURANÇA PÚBLICA</v>
          </cell>
          <cell r="G173" t="str">
            <v>Humanas</v>
          </cell>
          <cell r="H173">
            <v>12</v>
          </cell>
          <cell r="I173">
            <v>19</v>
          </cell>
          <cell r="J173">
            <v>184.28091221052631</v>
          </cell>
          <cell r="K173">
            <v>3501.3373320000001</v>
          </cell>
          <cell r="L173">
            <v>0.45</v>
          </cell>
          <cell r="M173">
            <v>91.22</v>
          </cell>
          <cell r="N173">
            <v>1733.18</v>
          </cell>
          <cell r="O173">
            <v>0.50499485320656334</v>
          </cell>
          <cell r="P173">
            <v>0.5</v>
          </cell>
          <cell r="Q173">
            <v>82.93</v>
          </cell>
        </row>
        <row r="174">
          <cell r="F174" t="str">
            <v>ESPECIALIZAÇÃO EM SISTEMAS DE INFORMAÇÃO</v>
          </cell>
          <cell r="G174" t="str">
            <v>Exatas</v>
          </cell>
          <cell r="H174">
            <v>12</v>
          </cell>
          <cell r="I174">
            <v>19</v>
          </cell>
          <cell r="J174">
            <v>277.58266800000001</v>
          </cell>
          <cell r="K174">
            <v>5274.0706920000002</v>
          </cell>
          <cell r="L174">
            <v>0.45</v>
          </cell>
          <cell r="M174">
            <v>137.4</v>
          </cell>
          <cell r="N174">
            <v>2610.6</v>
          </cell>
          <cell r="O174">
            <v>0.50501232303163834</v>
          </cell>
          <cell r="P174">
            <v>0.5</v>
          </cell>
          <cell r="Q174">
            <v>124.91</v>
          </cell>
        </row>
        <row r="175">
          <cell r="F175" t="str">
            <v>ESPECIALIZAÇÃO EM SISTEMAS INFORMÁTICOS</v>
          </cell>
          <cell r="G175" t="str">
            <v>Exatas</v>
          </cell>
          <cell r="H175">
            <v>6</v>
          </cell>
          <cell r="I175">
            <v>13</v>
          </cell>
          <cell r="J175">
            <v>405.70905000000005</v>
          </cell>
          <cell r="K175">
            <v>5274.2176500000005</v>
          </cell>
          <cell r="L175">
            <v>0.45</v>
          </cell>
          <cell r="M175">
            <v>200.83</v>
          </cell>
          <cell r="N175">
            <v>2610.79</v>
          </cell>
          <cell r="O175">
            <v>0.50499009080522117</v>
          </cell>
          <cell r="P175">
            <v>0.5</v>
          </cell>
          <cell r="Q175">
            <v>182.57</v>
          </cell>
        </row>
        <row r="176">
          <cell r="F176" t="str">
            <v>ESPECIALIZAÇÃO EM SUPERVISÃO ESCOLAR E ORIENTAÇÃO</v>
          </cell>
          <cell r="G176" t="str">
            <v>Humanas</v>
          </cell>
          <cell r="H176">
            <v>6</v>
          </cell>
          <cell r="I176">
            <v>13</v>
          </cell>
          <cell r="J176">
            <v>269.33202599999998</v>
          </cell>
          <cell r="K176">
            <v>3501.3163379999996</v>
          </cell>
          <cell r="L176">
            <v>0.45</v>
          </cell>
          <cell r="M176">
            <v>133.32</v>
          </cell>
          <cell r="N176">
            <v>1733.1599999999999</v>
          </cell>
          <cell r="O176">
            <v>0.50499759727794125</v>
          </cell>
          <cell r="P176">
            <v>0.5</v>
          </cell>
          <cell r="Q176">
            <v>121.2</v>
          </cell>
        </row>
        <row r="177">
          <cell r="F177" t="str">
            <v>ESPECIALIZAÇÃO EM TECH RECRUITER</v>
          </cell>
          <cell r="G177" t="str">
            <v>Exatas</v>
          </cell>
          <cell r="H177">
            <v>12</v>
          </cell>
          <cell r="I177">
            <v>19</v>
          </cell>
          <cell r="J177">
            <v>184.28091221052631</v>
          </cell>
          <cell r="K177">
            <v>3501.3373320000001</v>
          </cell>
          <cell r="L177">
            <v>0.45</v>
          </cell>
          <cell r="M177">
            <v>91.22</v>
          </cell>
          <cell r="N177">
            <v>1733.18</v>
          </cell>
          <cell r="O177">
            <v>0.50499485320656334</v>
          </cell>
          <cell r="P177">
            <v>0.5</v>
          </cell>
          <cell r="Q177">
            <v>82.93</v>
          </cell>
        </row>
        <row r="178">
          <cell r="F178" t="str">
            <v>ESPECIALIZAÇÃO EM TESTES ÁGEIS DE SOFTWARE</v>
          </cell>
          <cell r="G178" t="str">
            <v>Exatas</v>
          </cell>
          <cell r="H178">
            <v>6</v>
          </cell>
          <cell r="I178">
            <v>13</v>
          </cell>
          <cell r="J178">
            <v>405.70905000000005</v>
          </cell>
          <cell r="K178">
            <v>5274.2176500000005</v>
          </cell>
          <cell r="L178">
            <v>0.45</v>
          </cell>
          <cell r="M178">
            <v>200.83</v>
          </cell>
          <cell r="N178">
            <v>2610.79</v>
          </cell>
          <cell r="O178">
            <v>0.50499009080522117</v>
          </cell>
          <cell r="P178">
            <v>0.5</v>
          </cell>
          <cell r="Q178">
            <v>182.57</v>
          </cell>
        </row>
        <row r="179">
          <cell r="F179" t="str">
            <v>ESPECIALIZAÇÃO EM TESTES DE SOFTWARE ÁGIL</v>
          </cell>
          <cell r="G179" t="str">
            <v>Negócios</v>
          </cell>
          <cell r="H179">
            <v>12</v>
          </cell>
          <cell r="I179">
            <v>19</v>
          </cell>
          <cell r="J179">
            <v>277.58266800000001</v>
          </cell>
          <cell r="K179">
            <v>5274.0706920000002</v>
          </cell>
          <cell r="L179">
            <v>0.45</v>
          </cell>
          <cell r="M179">
            <v>137.4</v>
          </cell>
          <cell r="N179">
            <v>2610.6</v>
          </cell>
          <cell r="O179">
            <v>0.50501232303163834</v>
          </cell>
          <cell r="P179">
            <v>0.5</v>
          </cell>
          <cell r="Q179">
            <v>124.91</v>
          </cell>
        </row>
        <row r="180">
          <cell r="F180" t="str">
            <v>ESPECIALIZAÇÃO EM TRANSFORMAÇÃO DIGITAL E CULTURA DIGITAL NAS ORGANIZAÇÕES</v>
          </cell>
          <cell r="G180" t="str">
            <v>Exatas</v>
          </cell>
          <cell r="H180">
            <v>6</v>
          </cell>
          <cell r="I180">
            <v>13</v>
          </cell>
          <cell r="J180">
            <v>269.33202599999998</v>
          </cell>
          <cell r="K180">
            <v>3501.3163379999996</v>
          </cell>
          <cell r="L180">
            <v>0.45</v>
          </cell>
          <cell r="M180">
            <v>133.32</v>
          </cell>
          <cell r="N180">
            <v>1733.1599999999999</v>
          </cell>
          <cell r="O180">
            <v>0.50499759727794125</v>
          </cell>
          <cell r="P180">
            <v>0.5</v>
          </cell>
          <cell r="Q180">
            <v>121.2</v>
          </cell>
        </row>
        <row r="181">
          <cell r="F181" t="str">
            <v>ESPECIALIZAÇÃO EM USER EXPERIENCE DESIGN</v>
          </cell>
          <cell r="G181" t="str">
            <v>Exatas</v>
          </cell>
          <cell r="H181">
            <v>12</v>
          </cell>
          <cell r="I181">
            <v>19</v>
          </cell>
          <cell r="J181">
            <v>184.28091221052631</v>
          </cell>
          <cell r="K181">
            <v>3501.3373320000001</v>
          </cell>
          <cell r="L181">
            <v>0.45</v>
          </cell>
          <cell r="M181">
            <v>91.22</v>
          </cell>
          <cell r="N181">
            <v>1733.18</v>
          </cell>
          <cell r="O181">
            <v>0.50499485320656334</v>
          </cell>
          <cell r="P181">
            <v>0.5</v>
          </cell>
          <cell r="Q181">
            <v>82.93</v>
          </cell>
        </row>
        <row r="182">
          <cell r="F182" t="str">
            <v>ESPECIALIZAÇÃO EM UX DESIGN</v>
          </cell>
          <cell r="G182" t="str">
            <v>Exatas</v>
          </cell>
          <cell r="H182">
            <v>6</v>
          </cell>
          <cell r="I182">
            <v>13</v>
          </cell>
          <cell r="J182">
            <v>269.33202599999998</v>
          </cell>
          <cell r="K182">
            <v>3501.3163379999996</v>
          </cell>
          <cell r="L182">
            <v>0.45</v>
          </cell>
          <cell r="M182">
            <v>133.32</v>
          </cell>
          <cell r="N182">
            <v>1733.1599999999999</v>
          </cell>
          <cell r="O182">
            <v>0.50499759727794125</v>
          </cell>
          <cell r="P182">
            <v>0.5</v>
          </cell>
          <cell r="Q182">
            <v>121.2</v>
          </cell>
        </row>
        <row r="183">
          <cell r="F183" t="str">
            <v>ESPECIALIZAÇÃO EM VIGILÂNCIA EM SAÚDE E EPIDEMIOLOGIA</v>
          </cell>
          <cell r="G183" t="str">
            <v>Saúde</v>
          </cell>
          <cell r="H183">
            <v>6</v>
          </cell>
          <cell r="I183">
            <v>13</v>
          </cell>
          <cell r="J183">
            <v>405.70905000000005</v>
          </cell>
          <cell r="K183">
            <v>5274.2176500000005</v>
          </cell>
          <cell r="L183">
            <v>0.45</v>
          </cell>
          <cell r="M183">
            <v>200.83</v>
          </cell>
          <cell r="N183">
            <v>2610.79</v>
          </cell>
          <cell r="O183">
            <v>0.50499009080522117</v>
          </cell>
          <cell r="P183">
            <v>0.5</v>
          </cell>
          <cell r="Q183">
            <v>182.57</v>
          </cell>
        </row>
        <row r="184">
          <cell r="F184" t="str">
            <v>ESPECIALIZAÇÃO NA EDUCAÇÃO COM ÊNFASE NO PROCESSO DE FORMAÇÃO ÉTNICO - RACIAL</v>
          </cell>
          <cell r="G184" t="str">
            <v>Saúde</v>
          </cell>
          <cell r="H184">
            <v>6</v>
          </cell>
          <cell r="I184">
            <v>13</v>
          </cell>
          <cell r="J184">
            <v>269.33202599999998</v>
          </cell>
          <cell r="K184">
            <v>3501.3163379999996</v>
          </cell>
          <cell r="L184">
            <v>0.45</v>
          </cell>
          <cell r="M184">
            <v>133.32</v>
          </cell>
          <cell r="N184">
            <v>1733.1599999999999</v>
          </cell>
          <cell r="O184">
            <v>0.50499759727794125</v>
          </cell>
          <cell r="P184">
            <v>0.5</v>
          </cell>
          <cell r="Q184">
            <v>121.2</v>
          </cell>
        </row>
        <row r="185">
          <cell r="F185" t="str">
            <v>MBA EM ADMINISTRAÇÃO PÚBLICA</v>
          </cell>
          <cell r="G185" t="str">
            <v>Humanas</v>
          </cell>
          <cell r="H185">
            <v>6</v>
          </cell>
          <cell r="I185">
            <v>13</v>
          </cell>
          <cell r="J185">
            <v>269.33202599999998</v>
          </cell>
          <cell r="K185">
            <v>3501.3163379999996</v>
          </cell>
          <cell r="L185">
            <v>0.45</v>
          </cell>
          <cell r="M185">
            <v>133.32</v>
          </cell>
          <cell r="N185">
            <v>1733.1599999999999</v>
          </cell>
          <cell r="O185">
            <v>0.50499759727794125</v>
          </cell>
          <cell r="P185">
            <v>0.5</v>
          </cell>
          <cell r="Q185">
            <v>121.2</v>
          </cell>
        </row>
        <row r="186">
          <cell r="F186" t="str">
            <v>MBA EM AUDITORIA E CONTROLADORIA</v>
          </cell>
          <cell r="G186" t="str">
            <v>Humanas</v>
          </cell>
          <cell r="H186">
            <v>6</v>
          </cell>
          <cell r="I186">
            <v>13</v>
          </cell>
          <cell r="J186">
            <v>269.33202599999998</v>
          </cell>
          <cell r="K186">
            <v>3501.3163379999996</v>
          </cell>
          <cell r="L186">
            <v>0.45</v>
          </cell>
          <cell r="M186">
            <v>133.32</v>
          </cell>
          <cell r="N186">
            <v>1733.1599999999999</v>
          </cell>
          <cell r="O186">
            <v>0.50499759727794125</v>
          </cell>
          <cell r="P186">
            <v>0.5</v>
          </cell>
          <cell r="Q186">
            <v>121.2</v>
          </cell>
        </row>
        <row r="187">
          <cell r="F187" t="str">
            <v>MBA EM AUDITORIA EM SAÚDE</v>
          </cell>
          <cell r="G187" t="str">
            <v>Saúde</v>
          </cell>
          <cell r="H187">
            <v>12</v>
          </cell>
          <cell r="I187">
            <v>19</v>
          </cell>
          <cell r="J187">
            <v>277.58266800000001</v>
          </cell>
          <cell r="K187">
            <v>5274.0706920000002</v>
          </cell>
          <cell r="L187">
            <v>0.45</v>
          </cell>
          <cell r="M187">
            <v>137.4</v>
          </cell>
          <cell r="N187">
            <v>2610.6</v>
          </cell>
          <cell r="O187">
            <v>0.50501232303163834</v>
          </cell>
          <cell r="P187">
            <v>0.5</v>
          </cell>
          <cell r="Q187">
            <v>124.91</v>
          </cell>
        </row>
        <row r="188">
          <cell r="F188" t="str">
            <v>MBA EM AUDITORIA EM SERVIÇOS DE SAÚDE</v>
          </cell>
          <cell r="G188" t="str">
            <v>Saúde</v>
          </cell>
          <cell r="H188">
            <v>6</v>
          </cell>
          <cell r="I188">
            <v>13</v>
          </cell>
          <cell r="J188">
            <v>405.70905000000005</v>
          </cell>
          <cell r="K188">
            <v>5274.2176500000005</v>
          </cell>
          <cell r="L188">
            <v>0.45</v>
          </cell>
          <cell r="M188">
            <v>200.83</v>
          </cell>
          <cell r="N188">
            <v>2610.79</v>
          </cell>
          <cell r="O188">
            <v>0.50499009080522117</v>
          </cell>
          <cell r="P188">
            <v>0.5</v>
          </cell>
          <cell r="Q188">
            <v>182.57</v>
          </cell>
        </row>
        <row r="189">
          <cell r="F189" t="str">
            <v>MBA EM COACHING</v>
          </cell>
          <cell r="G189" t="str">
            <v>Humanas</v>
          </cell>
          <cell r="H189">
            <v>6</v>
          </cell>
          <cell r="I189">
            <v>13</v>
          </cell>
          <cell r="J189">
            <v>269.33202599999998</v>
          </cell>
          <cell r="K189">
            <v>3501.3163379999996</v>
          </cell>
          <cell r="L189">
            <v>0.45</v>
          </cell>
          <cell r="M189">
            <v>133.32</v>
          </cell>
          <cell r="N189">
            <v>1733.1599999999999</v>
          </cell>
          <cell r="O189">
            <v>0.50499759727794125</v>
          </cell>
          <cell r="P189">
            <v>0.5</v>
          </cell>
          <cell r="Q189">
            <v>121.2</v>
          </cell>
        </row>
        <row r="190">
          <cell r="F190" t="str">
            <v>MBA EM COACHING E GESTÃO DE PESSOAS</v>
          </cell>
          <cell r="G190" t="str">
            <v>Humanas</v>
          </cell>
          <cell r="H190">
            <v>6</v>
          </cell>
          <cell r="I190">
            <v>13</v>
          </cell>
          <cell r="J190">
            <v>269.33202599999998</v>
          </cell>
          <cell r="K190">
            <v>3501.3163379999996</v>
          </cell>
          <cell r="L190">
            <v>0.45</v>
          </cell>
          <cell r="M190">
            <v>133.32</v>
          </cell>
          <cell r="N190">
            <v>1733.1599999999999</v>
          </cell>
          <cell r="O190">
            <v>0.50499759727794125</v>
          </cell>
          <cell r="P190">
            <v>0.5</v>
          </cell>
          <cell r="Q190">
            <v>121.2</v>
          </cell>
        </row>
        <row r="191">
          <cell r="F191" t="str">
            <v>MBA EM COACHING E GESTÃO DE TALENTOS</v>
          </cell>
          <cell r="G191" t="str">
            <v>Humanas</v>
          </cell>
          <cell r="H191">
            <v>12</v>
          </cell>
          <cell r="I191">
            <v>19</v>
          </cell>
          <cell r="J191">
            <v>184.28091221052631</v>
          </cell>
          <cell r="K191">
            <v>3501.3373320000001</v>
          </cell>
          <cell r="L191">
            <v>0.45</v>
          </cell>
          <cell r="M191">
            <v>91.22</v>
          </cell>
          <cell r="N191">
            <v>1733.18</v>
          </cell>
          <cell r="O191">
            <v>0.50499485320656334</v>
          </cell>
          <cell r="P191">
            <v>0.5</v>
          </cell>
          <cell r="Q191">
            <v>82.93</v>
          </cell>
        </row>
        <row r="192">
          <cell r="F192" t="str">
            <v>MBA EM COMPLIANCE DIGITAL E PROTEÇÃO DE DADOS</v>
          </cell>
          <cell r="G192" t="str">
            <v>Exatas</v>
          </cell>
          <cell r="H192">
            <v>6</v>
          </cell>
          <cell r="I192">
            <v>13</v>
          </cell>
          <cell r="J192">
            <v>405.70905000000005</v>
          </cell>
          <cell r="K192">
            <v>5274.2176500000005</v>
          </cell>
          <cell r="L192">
            <v>0.45</v>
          </cell>
          <cell r="M192">
            <v>200.83</v>
          </cell>
          <cell r="N192">
            <v>2610.79</v>
          </cell>
          <cell r="O192">
            <v>0.50499009080522117</v>
          </cell>
          <cell r="P192">
            <v>0.5</v>
          </cell>
          <cell r="Q192">
            <v>182.57</v>
          </cell>
        </row>
        <row r="193">
          <cell r="F193" t="str">
            <v>MBA EM CONTABILIDADE EMPRESARIAL</v>
          </cell>
          <cell r="G193" t="str">
            <v>Humanas</v>
          </cell>
          <cell r="H193">
            <v>12</v>
          </cell>
          <cell r="I193">
            <v>19</v>
          </cell>
          <cell r="J193">
            <v>184.28091221052631</v>
          </cell>
          <cell r="K193">
            <v>3501.3373320000001</v>
          </cell>
          <cell r="L193">
            <v>0.45</v>
          </cell>
          <cell r="M193">
            <v>91.22</v>
          </cell>
          <cell r="N193">
            <v>1733.18</v>
          </cell>
          <cell r="O193">
            <v>0.50499485320656334</v>
          </cell>
          <cell r="P193">
            <v>0.5</v>
          </cell>
          <cell r="Q193">
            <v>82.93</v>
          </cell>
        </row>
        <row r="194">
          <cell r="F194" t="str">
            <v>MBA EM CONTABILIDADE NAS EMPRESAS</v>
          </cell>
          <cell r="G194" t="str">
            <v>Humanas</v>
          </cell>
          <cell r="H194">
            <v>6</v>
          </cell>
          <cell r="I194">
            <v>13</v>
          </cell>
          <cell r="J194">
            <v>269.33202599999998</v>
          </cell>
          <cell r="K194">
            <v>3501.3163379999996</v>
          </cell>
          <cell r="L194">
            <v>0.45</v>
          </cell>
          <cell r="M194">
            <v>133.32</v>
          </cell>
          <cell r="N194">
            <v>1733.1599999999999</v>
          </cell>
          <cell r="O194">
            <v>0.50499759727794125</v>
          </cell>
          <cell r="P194">
            <v>0.5</v>
          </cell>
          <cell r="Q194">
            <v>121.2</v>
          </cell>
        </row>
        <row r="195">
          <cell r="F195" t="str">
            <v>MBA EM CONTABILIDADE, AUDITORIA E CONTROLADORIA</v>
          </cell>
          <cell r="G195" t="str">
            <v>Humanas</v>
          </cell>
          <cell r="H195">
            <v>12</v>
          </cell>
          <cell r="I195">
            <v>19</v>
          </cell>
          <cell r="J195">
            <v>184.28091221052631</v>
          </cell>
          <cell r="K195">
            <v>3501.3373320000001</v>
          </cell>
          <cell r="L195">
            <v>0.45</v>
          </cell>
          <cell r="M195">
            <v>91.22</v>
          </cell>
          <cell r="N195">
            <v>1733.18</v>
          </cell>
          <cell r="O195">
            <v>0.50499485320656334</v>
          </cell>
          <cell r="P195">
            <v>0.5</v>
          </cell>
          <cell r="Q195">
            <v>82.93</v>
          </cell>
        </row>
        <row r="196">
          <cell r="F196" t="str">
            <v>MBA EM DATA PROTECTION OFFICER</v>
          </cell>
          <cell r="G196" t="str">
            <v>Exatas</v>
          </cell>
          <cell r="H196">
            <v>12</v>
          </cell>
          <cell r="I196">
            <v>19</v>
          </cell>
          <cell r="J196">
            <v>277.58266800000001</v>
          </cell>
          <cell r="K196">
            <v>5274.0706920000002</v>
          </cell>
          <cell r="L196">
            <v>0.45</v>
          </cell>
          <cell r="M196">
            <v>137.4</v>
          </cell>
          <cell r="N196">
            <v>2610.6</v>
          </cell>
          <cell r="O196">
            <v>0.50501232303163834</v>
          </cell>
          <cell r="P196">
            <v>0.5</v>
          </cell>
          <cell r="Q196">
            <v>124.91</v>
          </cell>
        </row>
        <row r="197">
          <cell r="F197" t="str">
            <v>MBA EM EMPREENDEDORISMO</v>
          </cell>
          <cell r="G197" t="str">
            <v>Humanas</v>
          </cell>
          <cell r="H197">
            <v>12</v>
          </cell>
          <cell r="I197">
            <v>19</v>
          </cell>
          <cell r="J197">
            <v>184.28091221052631</v>
          </cell>
          <cell r="K197">
            <v>3501.3373320000001</v>
          </cell>
          <cell r="L197">
            <v>0.45</v>
          </cell>
          <cell r="M197">
            <v>91.22</v>
          </cell>
          <cell r="N197">
            <v>1733.18</v>
          </cell>
          <cell r="O197">
            <v>0.50499485320656334</v>
          </cell>
          <cell r="P197">
            <v>0.5</v>
          </cell>
          <cell r="Q197">
            <v>82.93</v>
          </cell>
        </row>
        <row r="198">
          <cell r="F198" t="str">
            <v>MBA EM GERENCIAMENTO DE PROJETOS</v>
          </cell>
          <cell r="G198" t="str">
            <v>Humanas</v>
          </cell>
          <cell r="H198">
            <v>6</v>
          </cell>
          <cell r="I198">
            <v>13</v>
          </cell>
          <cell r="J198">
            <v>269.33202599999998</v>
          </cell>
          <cell r="K198">
            <v>3501.3163379999996</v>
          </cell>
          <cell r="L198">
            <v>0.45</v>
          </cell>
          <cell r="M198">
            <v>133.32</v>
          </cell>
          <cell r="N198">
            <v>1733.1599999999999</v>
          </cell>
          <cell r="O198">
            <v>0.50499759727794125</v>
          </cell>
          <cell r="P198">
            <v>0.5</v>
          </cell>
          <cell r="Q198">
            <v>121.2</v>
          </cell>
        </row>
        <row r="199">
          <cell r="F199" t="str">
            <v>MBA EM GESTÃO 4.0: TRANSFORMAÇÃO DIGITAL E AUTOMAÇÃO DE PROCESSOS</v>
          </cell>
          <cell r="G199" t="str">
            <v>Negócios</v>
          </cell>
          <cell r="H199">
            <v>12</v>
          </cell>
          <cell r="I199">
            <v>19</v>
          </cell>
          <cell r="J199">
            <v>277.58266800000001</v>
          </cell>
          <cell r="K199">
            <v>5274.0706920000002</v>
          </cell>
          <cell r="L199">
            <v>0.45</v>
          </cell>
          <cell r="M199">
            <v>137.4</v>
          </cell>
          <cell r="N199">
            <v>2610.6</v>
          </cell>
          <cell r="O199">
            <v>0.50501232303163834</v>
          </cell>
          <cell r="P199">
            <v>0.5</v>
          </cell>
          <cell r="Q199">
            <v>124.91</v>
          </cell>
        </row>
        <row r="200">
          <cell r="F200" t="str">
            <v>MBA EM GESTÃO COMERCIAL E MARKETING</v>
          </cell>
          <cell r="G200" t="str">
            <v>Humanas</v>
          </cell>
          <cell r="H200">
            <v>12</v>
          </cell>
          <cell r="I200">
            <v>19</v>
          </cell>
          <cell r="J200">
            <v>184.28091221052631</v>
          </cell>
          <cell r="K200">
            <v>3501.3373320000001</v>
          </cell>
          <cell r="L200">
            <v>0.45</v>
          </cell>
          <cell r="M200">
            <v>91.22</v>
          </cell>
          <cell r="N200">
            <v>1733.18</v>
          </cell>
          <cell r="O200">
            <v>0.50499485320656334</v>
          </cell>
          <cell r="P200">
            <v>0.5</v>
          </cell>
          <cell r="Q200">
            <v>82.93</v>
          </cell>
        </row>
        <row r="201">
          <cell r="F201" t="str">
            <v>MBA EM GESTÃO DA QUALIDADE E GESTÃO AMBIENTAL</v>
          </cell>
          <cell r="G201" t="str">
            <v>Humanas</v>
          </cell>
          <cell r="H201">
            <v>12</v>
          </cell>
          <cell r="I201">
            <v>19</v>
          </cell>
          <cell r="J201">
            <v>184.28091221052631</v>
          </cell>
          <cell r="K201">
            <v>3501.3373320000001</v>
          </cell>
          <cell r="L201">
            <v>0.45</v>
          </cell>
          <cell r="M201">
            <v>91.22</v>
          </cell>
          <cell r="N201">
            <v>1733.18</v>
          </cell>
          <cell r="O201">
            <v>0.50499485320656334</v>
          </cell>
          <cell r="P201">
            <v>0.5</v>
          </cell>
          <cell r="Q201">
            <v>82.93</v>
          </cell>
        </row>
        <row r="202">
          <cell r="F202" t="str">
            <v>MBA EM GESTÃO DE EMPRESAS</v>
          </cell>
          <cell r="G202" t="str">
            <v>Humanas</v>
          </cell>
          <cell r="H202">
            <v>6</v>
          </cell>
          <cell r="I202">
            <v>13</v>
          </cell>
          <cell r="J202">
            <v>269.33202599999998</v>
          </cell>
          <cell r="K202">
            <v>3501.3163379999996</v>
          </cell>
          <cell r="L202">
            <v>0.45</v>
          </cell>
          <cell r="M202">
            <v>133.32</v>
          </cell>
          <cell r="N202">
            <v>1733.1599999999999</v>
          </cell>
          <cell r="O202">
            <v>0.50499759727794125</v>
          </cell>
          <cell r="P202">
            <v>0.5</v>
          </cell>
          <cell r="Q202">
            <v>121.2</v>
          </cell>
        </row>
        <row r="203">
          <cell r="F203" t="str">
            <v>MBA EM GESTÃO DE NEGÓCIOS DISRUPTIVOS E EXPERIÊNCIA EMPRESARIAL</v>
          </cell>
          <cell r="G203" t="str">
            <v>Exatas</v>
          </cell>
          <cell r="H203">
            <v>6</v>
          </cell>
          <cell r="I203">
            <v>13</v>
          </cell>
          <cell r="J203">
            <v>405.70905000000005</v>
          </cell>
          <cell r="K203">
            <v>5274.2176500000005</v>
          </cell>
          <cell r="L203">
            <v>0.45</v>
          </cell>
          <cell r="M203">
            <v>200.83</v>
          </cell>
          <cell r="N203">
            <v>2610.79</v>
          </cell>
          <cell r="O203">
            <v>0.50499009080522117</v>
          </cell>
          <cell r="P203">
            <v>0.5</v>
          </cell>
          <cell r="Q203">
            <v>182.57</v>
          </cell>
        </row>
        <row r="204">
          <cell r="F204" t="str">
            <v>MBA EM GESTÃO DE NEGÓCIOS EM SERVIÇOS DE ALIMENTAÇÃO</v>
          </cell>
          <cell r="G204" t="str">
            <v>Saúde</v>
          </cell>
          <cell r="H204">
            <v>12</v>
          </cell>
          <cell r="I204">
            <v>19</v>
          </cell>
          <cell r="J204">
            <v>184.28091221052631</v>
          </cell>
          <cell r="K204">
            <v>3501.3373320000001</v>
          </cell>
          <cell r="L204">
            <v>0.45</v>
          </cell>
          <cell r="M204">
            <v>91.22</v>
          </cell>
          <cell r="N204">
            <v>1733.18</v>
          </cell>
          <cell r="O204">
            <v>0.50499485320656334</v>
          </cell>
          <cell r="P204">
            <v>0.5</v>
          </cell>
          <cell r="Q204">
            <v>82.93</v>
          </cell>
        </row>
        <row r="205">
          <cell r="F205" t="str">
            <v>MBA EM GESTÃO DE NEGÓCIOS PARA GASTRONOMIA</v>
          </cell>
          <cell r="G205" t="str">
            <v>Humanas</v>
          </cell>
          <cell r="H205">
            <v>6</v>
          </cell>
          <cell r="I205">
            <v>13</v>
          </cell>
          <cell r="J205">
            <v>269.33202599999998</v>
          </cell>
          <cell r="K205">
            <v>3501.3163379999996</v>
          </cell>
          <cell r="L205">
            <v>0.45</v>
          </cell>
          <cell r="M205">
            <v>133.32</v>
          </cell>
          <cell r="N205">
            <v>1733.1599999999999</v>
          </cell>
          <cell r="O205">
            <v>0.50499759727794125</v>
          </cell>
          <cell r="P205">
            <v>0.5</v>
          </cell>
          <cell r="Q205">
            <v>121.2</v>
          </cell>
        </row>
        <row r="206">
          <cell r="F206" t="str">
            <v>MBA EM GESTÃO DE PESSOAS</v>
          </cell>
          <cell r="G206" t="str">
            <v>Humanas</v>
          </cell>
          <cell r="H206">
            <v>12</v>
          </cell>
          <cell r="I206">
            <v>19</v>
          </cell>
          <cell r="J206">
            <v>184.28091221052631</v>
          </cell>
          <cell r="K206">
            <v>3501.3373320000001</v>
          </cell>
          <cell r="L206">
            <v>0.45</v>
          </cell>
          <cell r="M206">
            <v>91.22</v>
          </cell>
          <cell r="N206">
            <v>1733.18</v>
          </cell>
          <cell r="O206">
            <v>0.50499485320656334</v>
          </cell>
          <cell r="P206">
            <v>0.5</v>
          </cell>
          <cell r="Q206">
            <v>82.93</v>
          </cell>
        </row>
        <row r="207">
          <cell r="F207" t="str">
            <v>MBA EM GESTÃO DE PESSOAS E RELAÇÕES TRABALHISTAS</v>
          </cell>
          <cell r="G207" t="str">
            <v>Humanas</v>
          </cell>
          <cell r="H207">
            <v>12</v>
          </cell>
          <cell r="I207">
            <v>19</v>
          </cell>
          <cell r="J207">
            <v>184.28091221052631</v>
          </cell>
          <cell r="K207">
            <v>3501.3373320000001</v>
          </cell>
          <cell r="L207">
            <v>0.45</v>
          </cell>
          <cell r="M207">
            <v>91.22</v>
          </cell>
          <cell r="N207">
            <v>1733.18</v>
          </cell>
          <cell r="O207">
            <v>0.50499485320656334</v>
          </cell>
          <cell r="P207">
            <v>0.5</v>
          </cell>
          <cell r="Q207">
            <v>82.93</v>
          </cell>
        </row>
        <row r="208">
          <cell r="F208" t="str">
            <v>MBA EM GESTÃO DE PROJETOS</v>
          </cell>
          <cell r="G208" t="str">
            <v>Humanas</v>
          </cell>
          <cell r="H208">
            <v>12</v>
          </cell>
          <cell r="I208">
            <v>19</v>
          </cell>
          <cell r="J208">
            <v>184.28091221052631</v>
          </cell>
          <cell r="K208">
            <v>3501.3373320000001</v>
          </cell>
          <cell r="L208">
            <v>0.45</v>
          </cell>
          <cell r="M208">
            <v>91.22</v>
          </cell>
          <cell r="N208">
            <v>1733.18</v>
          </cell>
          <cell r="O208">
            <v>0.50499485320656334</v>
          </cell>
          <cell r="P208">
            <v>0.5</v>
          </cell>
          <cell r="Q208">
            <v>82.93</v>
          </cell>
        </row>
        <row r="209">
          <cell r="F209" t="str">
            <v>MBA EM GESTÃO DE RELAÇÕES TRABALHISTAS</v>
          </cell>
          <cell r="G209" t="str">
            <v>Humanas</v>
          </cell>
          <cell r="H209">
            <v>6</v>
          </cell>
          <cell r="I209">
            <v>13</v>
          </cell>
          <cell r="J209">
            <v>269.33202599999998</v>
          </cell>
          <cell r="K209">
            <v>3501.3163379999996</v>
          </cell>
          <cell r="L209">
            <v>0.45</v>
          </cell>
          <cell r="M209">
            <v>133.32</v>
          </cell>
          <cell r="N209">
            <v>1733.1599999999999</v>
          </cell>
          <cell r="O209">
            <v>0.50499759727794125</v>
          </cell>
          <cell r="P209">
            <v>0.5</v>
          </cell>
          <cell r="Q209">
            <v>121.2</v>
          </cell>
        </row>
        <row r="210">
          <cell r="F210" t="str">
            <v>MBA EM GESTÃO DE TECNOLOGIAS DISRUPTIVAS E AUTOMAÇÃO DE PROCESSOS</v>
          </cell>
          <cell r="G210" t="str">
            <v>Exatas</v>
          </cell>
          <cell r="H210">
            <v>6</v>
          </cell>
          <cell r="I210">
            <v>13</v>
          </cell>
          <cell r="J210">
            <v>405.70905000000005</v>
          </cell>
          <cell r="K210">
            <v>5274.2176500000005</v>
          </cell>
          <cell r="L210">
            <v>0.45</v>
          </cell>
          <cell r="M210">
            <v>200.83</v>
          </cell>
          <cell r="N210">
            <v>2610.79</v>
          </cell>
          <cell r="O210">
            <v>0.50499009080522117</v>
          </cell>
          <cell r="P210">
            <v>0.5</v>
          </cell>
          <cell r="Q210">
            <v>182.57</v>
          </cell>
        </row>
        <row r="211">
          <cell r="F211" t="str">
            <v>MBA EM GESTÃO E CONSULTORIA EMPRESARIAL</v>
          </cell>
          <cell r="G211" t="str">
            <v>Humanas</v>
          </cell>
          <cell r="H211">
            <v>6</v>
          </cell>
          <cell r="I211">
            <v>13</v>
          </cell>
          <cell r="J211">
            <v>269.33202599999998</v>
          </cell>
          <cell r="K211">
            <v>3501.3163379999996</v>
          </cell>
          <cell r="L211">
            <v>0.45</v>
          </cell>
          <cell r="M211">
            <v>133.32</v>
          </cell>
          <cell r="N211">
            <v>1733.1599999999999</v>
          </cell>
          <cell r="O211">
            <v>0.50499759727794125</v>
          </cell>
          <cell r="P211">
            <v>0.5</v>
          </cell>
          <cell r="Q211">
            <v>121.2</v>
          </cell>
        </row>
        <row r="212">
          <cell r="F212" t="str">
            <v>MBA EM GESTÃO E CONSULTORIA ORGANIZACIONAL</v>
          </cell>
          <cell r="G212" t="str">
            <v>Humanas</v>
          </cell>
          <cell r="H212">
            <v>12</v>
          </cell>
          <cell r="I212">
            <v>19</v>
          </cell>
          <cell r="J212">
            <v>184.28091221052631</v>
          </cell>
          <cell r="K212">
            <v>3501.3373320000001</v>
          </cell>
          <cell r="L212">
            <v>0.45</v>
          </cell>
          <cell r="M212">
            <v>91.22</v>
          </cell>
          <cell r="N212">
            <v>1733.18</v>
          </cell>
          <cell r="O212">
            <v>0.50499485320656334</v>
          </cell>
          <cell r="P212">
            <v>0.5</v>
          </cell>
          <cell r="Q212">
            <v>82.93</v>
          </cell>
        </row>
        <row r="213">
          <cell r="F213" t="str">
            <v>MBA EM GESTÃO EM UNIDADES HOSPITALARES</v>
          </cell>
          <cell r="G213" t="str">
            <v>Humanas</v>
          </cell>
          <cell r="H213">
            <v>6</v>
          </cell>
          <cell r="I213">
            <v>13</v>
          </cell>
          <cell r="J213">
            <v>269.33202599999998</v>
          </cell>
          <cell r="K213">
            <v>3501.3163379999996</v>
          </cell>
          <cell r="L213">
            <v>0.45</v>
          </cell>
          <cell r="M213">
            <v>133.32</v>
          </cell>
          <cell r="N213">
            <v>1733.1599999999999</v>
          </cell>
          <cell r="O213">
            <v>0.50499759727794125</v>
          </cell>
          <cell r="P213">
            <v>0.5</v>
          </cell>
          <cell r="Q213">
            <v>121.2</v>
          </cell>
        </row>
        <row r="214">
          <cell r="F214" t="str">
            <v>MBA EM GESTÃO EMPREENDEDORA</v>
          </cell>
          <cell r="G214" t="str">
            <v>Humanas</v>
          </cell>
          <cell r="H214">
            <v>6</v>
          </cell>
          <cell r="I214">
            <v>13</v>
          </cell>
          <cell r="J214">
            <v>269.33202599999998</v>
          </cell>
          <cell r="K214">
            <v>3501.3163379999996</v>
          </cell>
          <cell r="L214">
            <v>0.45</v>
          </cell>
          <cell r="M214">
            <v>133.32</v>
          </cell>
          <cell r="N214">
            <v>1733.1599999999999</v>
          </cell>
          <cell r="O214">
            <v>0.50499759727794125</v>
          </cell>
          <cell r="P214">
            <v>0.5</v>
          </cell>
          <cell r="Q214">
            <v>121.2</v>
          </cell>
        </row>
        <row r="215">
          <cell r="F215" t="str">
            <v>MBA EM GESTÃO EMPRESARIAL</v>
          </cell>
          <cell r="G215" t="str">
            <v>Humanas</v>
          </cell>
          <cell r="H215">
            <v>12</v>
          </cell>
          <cell r="I215">
            <v>19</v>
          </cell>
          <cell r="J215">
            <v>184.28091221052631</v>
          </cell>
          <cell r="K215">
            <v>3501.3373320000001</v>
          </cell>
          <cell r="L215">
            <v>0.45</v>
          </cell>
          <cell r="M215">
            <v>91.22</v>
          </cell>
          <cell r="N215">
            <v>1733.18</v>
          </cell>
          <cell r="O215">
            <v>0.50499485320656334</v>
          </cell>
          <cell r="P215">
            <v>0.5</v>
          </cell>
          <cell r="Q215">
            <v>82.93</v>
          </cell>
        </row>
        <row r="216">
          <cell r="F216" t="str">
            <v>MBA EM GESTÃO HOSPITALAR</v>
          </cell>
          <cell r="G216" t="str">
            <v>Saúde</v>
          </cell>
          <cell r="H216">
            <v>12</v>
          </cell>
          <cell r="I216">
            <v>19</v>
          </cell>
          <cell r="J216">
            <v>184.28091221052631</v>
          </cell>
          <cell r="K216">
            <v>3501.3373320000001</v>
          </cell>
          <cell r="L216">
            <v>0.45</v>
          </cell>
          <cell r="M216">
            <v>91.22</v>
          </cell>
          <cell r="N216">
            <v>1733.18</v>
          </cell>
          <cell r="O216">
            <v>0.50499485320656334</v>
          </cell>
          <cell r="P216">
            <v>0.5</v>
          </cell>
          <cell r="Q216">
            <v>82.93</v>
          </cell>
        </row>
        <row r="217">
          <cell r="F217" t="str">
            <v>MBA EM GESTÃO PÚBLICA</v>
          </cell>
          <cell r="G217" t="str">
            <v>Humanas</v>
          </cell>
          <cell r="H217">
            <v>12</v>
          </cell>
          <cell r="I217">
            <v>19</v>
          </cell>
          <cell r="J217">
            <v>184.28091221052631</v>
          </cell>
          <cell r="K217">
            <v>3501.3373320000001</v>
          </cell>
          <cell r="L217">
            <v>0.45</v>
          </cell>
          <cell r="M217">
            <v>91.22</v>
          </cell>
          <cell r="N217">
            <v>1733.18</v>
          </cell>
          <cell r="O217">
            <v>0.50499485320656334</v>
          </cell>
          <cell r="P217">
            <v>0.5</v>
          </cell>
          <cell r="Q217">
            <v>82.93</v>
          </cell>
        </row>
        <row r="218">
          <cell r="F218" t="str">
            <v>MBA EM GESTÃO TECNOLÓGICA BIG DATA E INTELIGÊNCIA ARTIFICIAL</v>
          </cell>
          <cell r="G218" t="str">
            <v>Exatas</v>
          </cell>
          <cell r="H218">
            <v>6</v>
          </cell>
          <cell r="I218">
            <v>13</v>
          </cell>
          <cell r="J218">
            <v>405.70905000000005</v>
          </cell>
          <cell r="K218">
            <v>5274.2176500000005</v>
          </cell>
          <cell r="L218">
            <v>0.45</v>
          </cell>
          <cell r="M218">
            <v>200.83</v>
          </cell>
          <cell r="N218">
            <v>2610.79</v>
          </cell>
          <cell r="O218">
            <v>0.50499009080522117</v>
          </cell>
          <cell r="P218">
            <v>0.5</v>
          </cell>
          <cell r="Q218">
            <v>182.57</v>
          </cell>
        </row>
        <row r="219">
          <cell r="F219" t="str">
            <v>MBA EM GOVERNANÇA CORPORATIVA</v>
          </cell>
          <cell r="G219" t="str">
            <v>Negócios</v>
          </cell>
          <cell r="H219">
            <v>12</v>
          </cell>
          <cell r="I219">
            <v>19</v>
          </cell>
          <cell r="J219">
            <v>184.28091221052631</v>
          </cell>
          <cell r="K219">
            <v>3501.3373320000001</v>
          </cell>
          <cell r="L219">
            <v>0.45</v>
          </cell>
          <cell r="M219">
            <v>91.22</v>
          </cell>
          <cell r="N219">
            <v>1733.18</v>
          </cell>
          <cell r="O219">
            <v>0.50499485320656334</v>
          </cell>
          <cell r="P219">
            <v>0.5</v>
          </cell>
          <cell r="Q219">
            <v>82.93</v>
          </cell>
        </row>
        <row r="220">
          <cell r="F220" t="str">
            <v>MBA EM GOVERNANÇA EMPRESARIAL</v>
          </cell>
          <cell r="G220" t="str">
            <v>Humanas</v>
          </cell>
          <cell r="H220">
            <v>6</v>
          </cell>
          <cell r="I220">
            <v>13</v>
          </cell>
          <cell r="J220">
            <v>269.33202599999998</v>
          </cell>
          <cell r="K220">
            <v>3501.3163379999996</v>
          </cell>
          <cell r="L220">
            <v>0.45</v>
          </cell>
          <cell r="M220">
            <v>133.32</v>
          </cell>
          <cell r="N220">
            <v>1733.1599999999999</v>
          </cell>
          <cell r="O220">
            <v>0.50499759727794125</v>
          </cell>
          <cell r="P220">
            <v>0.5</v>
          </cell>
          <cell r="Q220">
            <v>121.2</v>
          </cell>
        </row>
        <row r="221">
          <cell r="F221" t="str">
            <v>MBA EM LGPD E COMPLIANCE DIGITAL</v>
          </cell>
          <cell r="G221" t="str">
            <v>Negócios</v>
          </cell>
          <cell r="H221">
            <v>12</v>
          </cell>
          <cell r="I221">
            <v>19</v>
          </cell>
          <cell r="J221">
            <v>277.58266800000001</v>
          </cell>
          <cell r="K221">
            <v>5274.0706920000002</v>
          </cell>
          <cell r="L221">
            <v>0.45</v>
          </cell>
          <cell r="M221">
            <v>137.4</v>
          </cell>
          <cell r="N221">
            <v>2610.6</v>
          </cell>
          <cell r="O221">
            <v>0.50501232303163834</v>
          </cell>
          <cell r="P221">
            <v>0.5</v>
          </cell>
          <cell r="Q221">
            <v>124.91</v>
          </cell>
        </row>
        <row r="222">
          <cell r="F222" t="str">
            <v>MBA EM LIDERANÇA E COACHING</v>
          </cell>
          <cell r="G222" t="str">
            <v>Negócios</v>
          </cell>
          <cell r="H222">
            <v>12</v>
          </cell>
          <cell r="I222">
            <v>19</v>
          </cell>
          <cell r="J222">
            <v>184.28091221052631</v>
          </cell>
          <cell r="K222">
            <v>3501.3373320000001</v>
          </cell>
          <cell r="L222">
            <v>0.45</v>
          </cell>
          <cell r="M222">
            <v>91.22</v>
          </cell>
          <cell r="N222">
            <v>1733.18</v>
          </cell>
          <cell r="O222">
            <v>0.50499485320656334</v>
          </cell>
          <cell r="P222">
            <v>0.5</v>
          </cell>
          <cell r="Q222">
            <v>82.93</v>
          </cell>
        </row>
        <row r="223">
          <cell r="F223" t="str">
            <v>MBA EM LOGÍSTICA EMPRESARIAL</v>
          </cell>
          <cell r="G223" t="str">
            <v>Humanas</v>
          </cell>
          <cell r="H223">
            <v>12</v>
          </cell>
          <cell r="I223">
            <v>19</v>
          </cell>
          <cell r="J223">
            <v>184.28091221052631</v>
          </cell>
          <cell r="K223">
            <v>3501.3373320000001</v>
          </cell>
          <cell r="L223">
            <v>0.45</v>
          </cell>
          <cell r="M223">
            <v>91.22</v>
          </cell>
          <cell r="N223">
            <v>1733.18</v>
          </cell>
          <cell r="O223">
            <v>0.50499485320656334</v>
          </cell>
          <cell r="P223">
            <v>0.5</v>
          </cell>
          <cell r="Q223">
            <v>82.93</v>
          </cell>
        </row>
        <row r="224">
          <cell r="F224" t="str">
            <v>MBA EM LOGÍSTICA NAS ORGANIZAÇÕES</v>
          </cell>
          <cell r="G224" t="str">
            <v>Humanas</v>
          </cell>
          <cell r="H224">
            <v>6</v>
          </cell>
          <cell r="I224">
            <v>13</v>
          </cell>
          <cell r="J224">
            <v>269.33202599999998</v>
          </cell>
          <cell r="K224">
            <v>3501.3163379999996</v>
          </cell>
          <cell r="L224">
            <v>0.45</v>
          </cell>
          <cell r="M224">
            <v>133.32</v>
          </cell>
          <cell r="N224">
            <v>1733.1599999999999</v>
          </cell>
          <cell r="O224">
            <v>0.50499759727794125</v>
          </cell>
          <cell r="P224">
            <v>0.5</v>
          </cell>
          <cell r="Q224">
            <v>121.2</v>
          </cell>
        </row>
        <row r="225">
          <cell r="F225" t="str">
            <v>MBA EM MARKETING E VENDAS</v>
          </cell>
          <cell r="G225" t="str">
            <v>Humanas</v>
          </cell>
          <cell r="H225">
            <v>6</v>
          </cell>
          <cell r="I225">
            <v>13</v>
          </cell>
          <cell r="J225">
            <v>269.33202599999998</v>
          </cell>
          <cell r="K225">
            <v>3501.3163379999996</v>
          </cell>
          <cell r="L225">
            <v>0.45</v>
          </cell>
          <cell r="M225">
            <v>133.32</v>
          </cell>
          <cell r="N225">
            <v>1733.1599999999999</v>
          </cell>
          <cell r="O225">
            <v>0.50499759727794125</v>
          </cell>
          <cell r="P225">
            <v>0.5</v>
          </cell>
          <cell r="Q225">
            <v>121.2</v>
          </cell>
        </row>
        <row r="226">
          <cell r="F226" t="str">
            <v>MBA EM MEIO AMBIENTE E GESTÃO DA QUALIDADE</v>
          </cell>
          <cell r="G226" t="str">
            <v>Humanas</v>
          </cell>
          <cell r="H226">
            <v>6</v>
          </cell>
          <cell r="I226">
            <v>13</v>
          </cell>
          <cell r="J226">
            <v>269.33202599999998</v>
          </cell>
          <cell r="K226">
            <v>3501.3163379999996</v>
          </cell>
          <cell r="L226">
            <v>0.45</v>
          </cell>
          <cell r="M226">
            <v>133.32</v>
          </cell>
          <cell r="N226">
            <v>1733.1599999999999</v>
          </cell>
          <cell r="O226">
            <v>0.50499759727794125</v>
          </cell>
          <cell r="P226">
            <v>0.5</v>
          </cell>
          <cell r="Q226">
            <v>121.2</v>
          </cell>
        </row>
        <row r="227">
          <cell r="F227" t="str">
            <v>MBA EM NEGÓCIOS DISRUPTIVOS E BUSINESS EXPERIENCE</v>
          </cell>
          <cell r="G227" t="str">
            <v>Negócios</v>
          </cell>
          <cell r="H227">
            <v>12</v>
          </cell>
          <cell r="I227">
            <v>19</v>
          </cell>
          <cell r="J227">
            <v>277.58266800000001</v>
          </cell>
          <cell r="K227">
            <v>5274.0706920000002</v>
          </cell>
          <cell r="L227">
            <v>0.45</v>
          </cell>
          <cell r="M227">
            <v>137.4</v>
          </cell>
          <cell r="N227">
            <v>2610.6</v>
          </cell>
          <cell r="O227">
            <v>0.50501232303163834</v>
          </cell>
          <cell r="P227">
            <v>0.5</v>
          </cell>
          <cell r="Q227">
            <v>124.91</v>
          </cell>
        </row>
        <row r="228">
          <cell r="F228" t="str">
            <v>MBA EM RECURSOS HUMANOS</v>
          </cell>
          <cell r="G228" t="str">
            <v>Humanas</v>
          </cell>
          <cell r="H228">
            <v>6</v>
          </cell>
          <cell r="I228">
            <v>13</v>
          </cell>
          <cell r="J228">
            <v>269.33202599999998</v>
          </cell>
          <cell r="K228">
            <v>3501.3163379999996</v>
          </cell>
          <cell r="L228">
            <v>0.45</v>
          </cell>
          <cell r="M228">
            <v>133.32</v>
          </cell>
          <cell r="N228">
            <v>1733.1599999999999</v>
          </cell>
          <cell r="O228">
            <v>0.50499759727794125</v>
          </cell>
          <cell r="P228">
            <v>0.5</v>
          </cell>
          <cell r="Q228">
            <v>121.2</v>
          </cell>
        </row>
        <row r="229">
          <cell r="F229" t="str">
            <v>MBA EM SAÚDE 5.0: INOVAÇÃO EM SAÚDE</v>
          </cell>
          <cell r="G229" t="str">
            <v>Saúde</v>
          </cell>
          <cell r="H229">
            <v>12</v>
          </cell>
          <cell r="I229">
            <v>19</v>
          </cell>
          <cell r="J229">
            <v>277.58266800000001</v>
          </cell>
          <cell r="K229">
            <v>5274.0706920000002</v>
          </cell>
          <cell r="L229">
            <v>0.45</v>
          </cell>
          <cell r="M229">
            <v>137.4</v>
          </cell>
          <cell r="N229">
            <v>2610.6</v>
          </cell>
          <cell r="O229">
            <v>0.50501232303163834</v>
          </cell>
          <cell r="P229">
            <v>0.5</v>
          </cell>
          <cell r="Q229">
            <v>124.91</v>
          </cell>
        </row>
        <row r="230">
          <cell r="F230" t="str">
            <v>MBA EM SAÚDE 5.0: TECNOLOGIA EM SAÚDE</v>
          </cell>
          <cell r="G230" t="str">
            <v>Saúde</v>
          </cell>
          <cell r="H230">
            <v>6</v>
          </cell>
          <cell r="I230">
            <v>13</v>
          </cell>
          <cell r="J230">
            <v>405.70905000000005</v>
          </cell>
          <cell r="K230">
            <v>5274.2176500000005</v>
          </cell>
          <cell r="L230">
            <v>0.45</v>
          </cell>
          <cell r="M230">
            <v>200.83</v>
          </cell>
          <cell r="N230">
            <v>2610.79</v>
          </cell>
          <cell r="O230">
            <v>0.50499009080522117</v>
          </cell>
          <cell r="P230">
            <v>0.5</v>
          </cell>
          <cell r="Q230">
            <v>182.57</v>
          </cell>
        </row>
        <row r="231">
          <cell r="F231" t="str">
            <v>MBA EM TECNOLOGIAS PARA GESTÃO: BIG DATA E INTELIGÊNCIA ARTIFICIAL</v>
          </cell>
          <cell r="G231" t="str">
            <v>Negócios</v>
          </cell>
          <cell r="H231">
            <v>12</v>
          </cell>
          <cell r="I231">
            <v>19</v>
          </cell>
          <cell r="J231">
            <v>277.58266800000001</v>
          </cell>
          <cell r="K231">
            <v>5274.0706920000002</v>
          </cell>
          <cell r="L231">
            <v>0.45</v>
          </cell>
          <cell r="M231">
            <v>137.4</v>
          </cell>
          <cell r="N231">
            <v>2610.6</v>
          </cell>
          <cell r="O231">
            <v>0.50501232303163834</v>
          </cell>
          <cell r="P231">
            <v>0.5</v>
          </cell>
          <cell r="Q231">
            <v>124.91</v>
          </cell>
        </row>
        <row r="233">
          <cell r="F233" t="str">
            <v>ESPECIALIZAÇÃO EM ADMINISTRAÇÃO DE CONTRATOS PÚBLICOS</v>
          </cell>
          <cell r="G233" t="str">
            <v>Humanas</v>
          </cell>
          <cell r="H233">
            <v>6</v>
          </cell>
          <cell r="I233">
            <v>13</v>
          </cell>
          <cell r="J233">
            <v>303.42628200000001</v>
          </cell>
          <cell r="K233">
            <v>3944.5416660000001</v>
          </cell>
          <cell r="L233">
            <v>0.45</v>
          </cell>
          <cell r="M233">
            <v>150.19999999999999</v>
          </cell>
          <cell r="N233">
            <v>1952.6</v>
          </cell>
          <cell r="O233">
            <v>0.50498684883203371</v>
          </cell>
          <cell r="P233">
            <v>0.5</v>
          </cell>
          <cell r="Q233">
            <v>136.54</v>
          </cell>
        </row>
        <row r="234">
          <cell r="F234" t="str">
            <v>ESPECIALIZAÇÃO EM ADMINISTRAÇÃO DE DEPARTAMENTO PESSOAL</v>
          </cell>
          <cell r="G234" t="str">
            <v>Negócios</v>
          </cell>
          <cell r="H234">
            <v>12</v>
          </cell>
          <cell r="I234">
            <v>19</v>
          </cell>
          <cell r="J234">
            <v>207.609666</v>
          </cell>
          <cell r="K234">
            <v>3944.583654</v>
          </cell>
          <cell r="L234">
            <v>0.45</v>
          </cell>
          <cell r="M234">
            <v>102.77</v>
          </cell>
          <cell r="N234">
            <v>1952.6299999999999</v>
          </cell>
          <cell r="O234">
            <v>0.50498451261898381</v>
          </cell>
          <cell r="P234">
            <v>0.5</v>
          </cell>
          <cell r="Q234">
            <v>93.42</v>
          </cell>
        </row>
        <row r="235">
          <cell r="F235" t="str">
            <v>ESPECIALIZAÇÃO EM ADMINISTRAÇÃO DE PROTEÇÃO DE DADOS</v>
          </cell>
          <cell r="G235" t="str">
            <v>Exatas</v>
          </cell>
          <cell r="H235">
            <v>6</v>
          </cell>
          <cell r="I235">
            <v>13</v>
          </cell>
          <cell r="J235">
            <v>439.79280900000003</v>
          </cell>
          <cell r="K235">
            <v>5717.3065170000009</v>
          </cell>
          <cell r="L235">
            <v>0.45</v>
          </cell>
          <cell r="M235">
            <v>217.7</v>
          </cell>
          <cell r="N235">
            <v>2830.1</v>
          </cell>
          <cell r="O235">
            <v>0.50499418011175357</v>
          </cell>
          <cell r="P235">
            <v>0.5</v>
          </cell>
          <cell r="Q235">
            <v>197.91</v>
          </cell>
        </row>
        <row r="236">
          <cell r="F236" t="str">
            <v>ESPECIALIZAÇÃO EM ADMINISTRAÇÃO EM SAÚDE PÚBLICA</v>
          </cell>
          <cell r="G236" t="str">
            <v>Humanas</v>
          </cell>
          <cell r="H236">
            <v>6</v>
          </cell>
          <cell r="I236">
            <v>13</v>
          </cell>
          <cell r="J236">
            <v>439.79280900000003</v>
          </cell>
          <cell r="K236">
            <v>5717.3065170000009</v>
          </cell>
          <cell r="L236">
            <v>0.45</v>
          </cell>
          <cell r="M236">
            <v>217.7</v>
          </cell>
          <cell r="N236">
            <v>2830.1</v>
          </cell>
          <cell r="O236">
            <v>0.50499418011175357</v>
          </cell>
          <cell r="P236">
            <v>0.5</v>
          </cell>
          <cell r="Q236">
            <v>197.91</v>
          </cell>
        </row>
        <row r="237">
          <cell r="F237" t="str">
            <v>ESPECIALIZAÇÃO EM ADMINISTRAÇÃO PÚBLICA E DIREITO PÚBLICO</v>
          </cell>
          <cell r="G237" t="str">
            <v>Humanas</v>
          </cell>
          <cell r="H237">
            <v>6</v>
          </cell>
          <cell r="I237">
            <v>13</v>
          </cell>
          <cell r="J237">
            <v>439.79280900000003</v>
          </cell>
          <cell r="K237">
            <v>5717.3065170000009</v>
          </cell>
          <cell r="L237">
            <v>0.45</v>
          </cell>
          <cell r="M237">
            <v>217.7</v>
          </cell>
          <cell r="N237">
            <v>2830.1</v>
          </cell>
          <cell r="O237">
            <v>0.50499418011175357</v>
          </cell>
          <cell r="P237">
            <v>0.5</v>
          </cell>
          <cell r="Q237">
            <v>197.91</v>
          </cell>
        </row>
        <row r="238">
          <cell r="F238" t="str">
            <v>ESPECIALIZAÇÃO EM ALFABETIZAÇÃO E LETRAMENTO</v>
          </cell>
          <cell r="G238" t="str">
            <v>Humanas</v>
          </cell>
          <cell r="H238">
            <v>12</v>
          </cell>
          <cell r="I238">
            <v>19</v>
          </cell>
          <cell r="J238">
            <v>207.609666</v>
          </cell>
          <cell r="K238">
            <v>3944.583654</v>
          </cell>
          <cell r="L238">
            <v>0.45</v>
          </cell>
          <cell r="M238">
            <v>102.77</v>
          </cell>
          <cell r="N238">
            <v>1952.6299999999999</v>
          </cell>
          <cell r="O238">
            <v>0.50498451261898381</v>
          </cell>
          <cell r="P238">
            <v>0.5</v>
          </cell>
          <cell r="Q238">
            <v>93.42</v>
          </cell>
        </row>
        <row r="239">
          <cell r="F239" t="str">
            <v>ESPECIALIZAÇÃO EM ANÁLISES CLÍNICAS</v>
          </cell>
          <cell r="G239" t="str">
            <v>Saúde</v>
          </cell>
          <cell r="H239">
            <v>12</v>
          </cell>
          <cell r="I239">
            <v>19</v>
          </cell>
          <cell r="J239">
            <v>300.91749900000002</v>
          </cell>
          <cell r="K239">
            <v>5717.4324810000007</v>
          </cell>
          <cell r="L239">
            <v>0.45</v>
          </cell>
          <cell r="M239">
            <v>148.94999999999999</v>
          </cell>
          <cell r="N239">
            <v>2830.0499999999997</v>
          </cell>
          <cell r="O239">
            <v>0.50501383105008468</v>
          </cell>
          <cell r="P239">
            <v>0.5</v>
          </cell>
          <cell r="Q239">
            <v>135.41</v>
          </cell>
        </row>
        <row r="240">
          <cell r="F240" t="str">
            <v>ESPECIALIZAÇÃO EM ANÁLISES CLÍNICAS E DIAGNÓSTICO LABORATORIAL</v>
          </cell>
          <cell r="G240" t="str">
            <v>Saúde</v>
          </cell>
          <cell r="H240">
            <v>12</v>
          </cell>
          <cell r="I240">
            <v>19</v>
          </cell>
          <cell r="J240">
            <v>300.91749900000002</v>
          </cell>
          <cell r="K240">
            <v>5717.4324810000007</v>
          </cell>
          <cell r="L240">
            <v>0.45</v>
          </cell>
          <cell r="M240">
            <v>148.94999999999999</v>
          </cell>
          <cell r="N240">
            <v>2830.0499999999997</v>
          </cell>
          <cell r="O240">
            <v>0.50501383105008468</v>
          </cell>
          <cell r="P240">
            <v>0.5</v>
          </cell>
          <cell r="Q240">
            <v>135.41</v>
          </cell>
        </row>
        <row r="241">
          <cell r="F241" t="str">
            <v>ESPECIALIZAÇÃO EM ANÁLISES CLÍNICAS E TOXICOLÓGICAS</v>
          </cell>
          <cell r="G241" t="str">
            <v>Saúde</v>
          </cell>
          <cell r="H241">
            <v>6</v>
          </cell>
          <cell r="I241">
            <v>13</v>
          </cell>
          <cell r="J241">
            <v>439.79280900000003</v>
          </cell>
          <cell r="K241">
            <v>5717.3065170000009</v>
          </cell>
          <cell r="L241">
            <v>0.45</v>
          </cell>
          <cell r="M241">
            <v>217.7</v>
          </cell>
          <cell r="N241">
            <v>2830.1</v>
          </cell>
          <cell r="O241">
            <v>0.50499418011175357</v>
          </cell>
          <cell r="P241">
            <v>0.5</v>
          </cell>
          <cell r="Q241">
            <v>197.91</v>
          </cell>
        </row>
        <row r="242">
          <cell r="F242" t="str">
            <v>ESPECIALIZAÇÃO EM ANTROPOLOGIA E FUNDAMENTOS DA EDUCAÇÃO SOCIAL</v>
          </cell>
          <cell r="G242" t="str">
            <v>Humanas</v>
          </cell>
          <cell r="H242">
            <v>12</v>
          </cell>
          <cell r="I242">
            <v>19</v>
          </cell>
          <cell r="J242">
            <v>207.609666</v>
          </cell>
          <cell r="K242">
            <v>3944.583654</v>
          </cell>
          <cell r="L242">
            <v>0.45</v>
          </cell>
          <cell r="M242">
            <v>102.77</v>
          </cell>
          <cell r="N242">
            <v>1952.6299999999999</v>
          </cell>
          <cell r="O242">
            <v>0.50498451261898381</v>
          </cell>
          <cell r="P242">
            <v>0.5</v>
          </cell>
          <cell r="Q242">
            <v>93.42</v>
          </cell>
        </row>
        <row r="243">
          <cell r="F243" t="str">
            <v>ESPECIALIZAÇÃO EM ARQUITETURA DE CLOUD COMPUTING</v>
          </cell>
          <cell r="G243" t="str">
            <v>Negócios</v>
          </cell>
          <cell r="H243">
            <v>12</v>
          </cell>
          <cell r="I243">
            <v>19</v>
          </cell>
          <cell r="J243">
            <v>300.91749900000002</v>
          </cell>
          <cell r="K243">
            <v>5717.4324810000007</v>
          </cell>
          <cell r="L243">
            <v>0.45</v>
          </cell>
          <cell r="M243">
            <v>148.94999999999999</v>
          </cell>
          <cell r="N243">
            <v>2830.0499999999997</v>
          </cell>
          <cell r="O243">
            <v>0.50501383105008468</v>
          </cell>
          <cell r="P243">
            <v>0.5</v>
          </cell>
          <cell r="Q243">
            <v>135.41</v>
          </cell>
        </row>
        <row r="244">
          <cell r="F244" t="str">
            <v>ESPECIALIZAÇÃO EM ARQUITETURA DE COMPUTAÇÃO EM NUVEM</v>
          </cell>
          <cell r="G244" t="str">
            <v>Exatas</v>
          </cell>
          <cell r="H244">
            <v>6</v>
          </cell>
          <cell r="I244">
            <v>13</v>
          </cell>
          <cell r="J244">
            <v>439.79280900000003</v>
          </cell>
          <cell r="K244">
            <v>5717.3065170000009</v>
          </cell>
          <cell r="L244">
            <v>0.45</v>
          </cell>
          <cell r="M244">
            <v>217.7</v>
          </cell>
          <cell r="N244">
            <v>2830.1</v>
          </cell>
          <cell r="O244">
            <v>0.50499418011175357</v>
          </cell>
          <cell r="P244">
            <v>0.5</v>
          </cell>
          <cell r="Q244">
            <v>197.91</v>
          </cell>
        </row>
        <row r="245">
          <cell r="F245" t="str">
            <v>ESPECIALIZAÇÃO EM AUDITORIA DA QUALIDADE</v>
          </cell>
          <cell r="G245" t="str">
            <v>Humanas</v>
          </cell>
          <cell r="H245">
            <v>12</v>
          </cell>
          <cell r="I245">
            <v>19</v>
          </cell>
          <cell r="J245">
            <v>207.609666</v>
          </cell>
          <cell r="K245">
            <v>3944.583654</v>
          </cell>
          <cell r="L245">
            <v>0.45</v>
          </cell>
          <cell r="M245">
            <v>102.77</v>
          </cell>
          <cell r="N245">
            <v>1952.6299999999999</v>
          </cell>
          <cell r="O245">
            <v>0.50498451261898381</v>
          </cell>
          <cell r="P245">
            <v>0.5</v>
          </cell>
          <cell r="Q245">
            <v>93.42</v>
          </cell>
        </row>
        <row r="246">
          <cell r="F246" t="str">
            <v>ESPECIALIZAÇÃO EM AULAS ON-LINE PARA EDUCAÇÃO BÁSICA</v>
          </cell>
          <cell r="G246" t="str">
            <v>Humanas</v>
          </cell>
          <cell r="H246">
            <v>4</v>
          </cell>
          <cell r="I246">
            <v>7</v>
          </cell>
          <cell r="J246">
            <v>303.42628200000001</v>
          </cell>
          <cell r="K246">
            <v>2123.9839740000002</v>
          </cell>
          <cell r="L246">
            <v>0.45</v>
          </cell>
          <cell r="M246">
            <v>150.19999999999999</v>
          </cell>
          <cell r="N246">
            <v>1051.3999999999999</v>
          </cell>
          <cell r="O246">
            <v>0.50498684883203371</v>
          </cell>
          <cell r="P246">
            <v>0.5</v>
          </cell>
          <cell r="Q246">
            <v>136.54</v>
          </cell>
        </row>
        <row r="247">
          <cell r="F247" t="str">
            <v>ESPECIALIZAÇÃO EM CIBERSEGURANÇA: MONITORAMENTO E PROTEÇÃO DIGITAL DE NEGÓCIOS</v>
          </cell>
          <cell r="G247" t="str">
            <v>Negócios</v>
          </cell>
          <cell r="H247">
            <v>12</v>
          </cell>
          <cell r="I247">
            <v>19</v>
          </cell>
          <cell r="J247">
            <v>300.91749900000002</v>
          </cell>
          <cell r="K247">
            <v>5717.4324810000007</v>
          </cell>
          <cell r="L247">
            <v>0.45</v>
          </cell>
          <cell r="M247">
            <v>148.94999999999999</v>
          </cell>
          <cell r="N247">
            <v>2830.0499999999997</v>
          </cell>
          <cell r="O247">
            <v>0.50501383105008468</v>
          </cell>
          <cell r="P247">
            <v>0.5</v>
          </cell>
          <cell r="Q247">
            <v>135.41</v>
          </cell>
        </row>
        <row r="248">
          <cell r="F248" t="str">
            <v>ESPECIALIZAÇÃO EM CIÊNCIAS DE DADOS</v>
          </cell>
          <cell r="G248" t="str">
            <v>Exatas</v>
          </cell>
          <cell r="H248">
            <v>6</v>
          </cell>
          <cell r="I248">
            <v>13</v>
          </cell>
          <cell r="J248">
            <v>303.42628200000001</v>
          </cell>
          <cell r="K248">
            <v>3944.5416660000001</v>
          </cell>
          <cell r="L248">
            <v>0.45</v>
          </cell>
          <cell r="M248">
            <v>150.19999999999999</v>
          </cell>
          <cell r="N248">
            <v>1952.6</v>
          </cell>
          <cell r="O248">
            <v>0.50498684883203371</v>
          </cell>
          <cell r="P248">
            <v>0.5</v>
          </cell>
          <cell r="Q248">
            <v>136.54</v>
          </cell>
        </row>
        <row r="249">
          <cell r="F249" t="str">
            <v>ESPECIALIZAÇÃO EM COMUNICAÇÃO E MARKETING POLÍTICO</v>
          </cell>
          <cell r="G249" t="str">
            <v>Humanas</v>
          </cell>
          <cell r="H249">
            <v>12</v>
          </cell>
          <cell r="I249">
            <v>19</v>
          </cell>
          <cell r="J249">
            <v>207.609666</v>
          </cell>
          <cell r="K249">
            <v>3944.583654</v>
          </cell>
          <cell r="L249">
            <v>0.45</v>
          </cell>
          <cell r="M249">
            <v>102.77</v>
          </cell>
          <cell r="N249">
            <v>1952.6299999999999</v>
          </cell>
          <cell r="O249">
            <v>0.50498451261898381</v>
          </cell>
          <cell r="P249">
            <v>0.5</v>
          </cell>
          <cell r="Q249">
            <v>93.42</v>
          </cell>
        </row>
        <row r="250">
          <cell r="F250" t="str">
            <v>ESPECIALIZAÇÃO EM COMUNICAÇÃO E PORTUGUÊS JURÍDICO</v>
          </cell>
          <cell r="G250" t="str">
            <v>Humanas</v>
          </cell>
          <cell r="H250">
            <v>6</v>
          </cell>
          <cell r="I250">
            <v>13</v>
          </cell>
          <cell r="J250">
            <v>303.42628200000001</v>
          </cell>
          <cell r="K250">
            <v>3944.5416660000001</v>
          </cell>
          <cell r="L250">
            <v>0.45</v>
          </cell>
          <cell r="M250">
            <v>150.19999999999999</v>
          </cell>
          <cell r="N250">
            <v>1952.6</v>
          </cell>
          <cell r="O250">
            <v>0.50498684883203371</v>
          </cell>
          <cell r="P250">
            <v>0.5</v>
          </cell>
          <cell r="Q250">
            <v>136.54</v>
          </cell>
        </row>
        <row r="251">
          <cell r="F251" t="str">
            <v>ESPECIALIZAÇÃO EM COMUNICAÇÃO ESTRATÉGICA E MARKETING POLÍTICO</v>
          </cell>
          <cell r="G251" t="str">
            <v>Humanas</v>
          </cell>
          <cell r="H251">
            <v>6</v>
          </cell>
          <cell r="I251">
            <v>13</v>
          </cell>
          <cell r="J251">
            <v>303.42628200000001</v>
          </cell>
          <cell r="K251">
            <v>3944.5416660000001</v>
          </cell>
          <cell r="L251">
            <v>0.45</v>
          </cell>
          <cell r="M251">
            <v>150.19999999999999</v>
          </cell>
          <cell r="N251">
            <v>1952.6</v>
          </cell>
          <cell r="O251">
            <v>0.50498684883203371</v>
          </cell>
          <cell r="P251">
            <v>0.5</v>
          </cell>
          <cell r="Q251">
            <v>136.54</v>
          </cell>
        </row>
        <row r="252">
          <cell r="F252" t="str">
            <v>ESPECIALIZAÇÃO EM CONTABILIDADE GERENCIAL</v>
          </cell>
          <cell r="G252" t="str">
            <v>Exatas</v>
          </cell>
          <cell r="H252">
            <v>6</v>
          </cell>
          <cell r="I252">
            <v>13</v>
          </cell>
          <cell r="J252">
            <v>303.42628200000001</v>
          </cell>
          <cell r="K252">
            <v>3944.5416660000001</v>
          </cell>
          <cell r="L252">
            <v>0.45</v>
          </cell>
          <cell r="M252">
            <v>150.19999999999999</v>
          </cell>
          <cell r="N252">
            <v>1952.6</v>
          </cell>
          <cell r="O252">
            <v>0.50498684883203371</v>
          </cell>
          <cell r="P252">
            <v>0.5</v>
          </cell>
          <cell r="Q252">
            <v>136.54</v>
          </cell>
        </row>
        <row r="253">
          <cell r="F253" t="str">
            <v>ESPECIALIZAÇÃO EM CONTROLE E QUALIDADE EM PROCESSOS, PRODUTOS E SERVIÇOS</v>
          </cell>
          <cell r="G253" t="str">
            <v>Exatas</v>
          </cell>
          <cell r="H253">
            <v>6</v>
          </cell>
          <cell r="I253">
            <v>13</v>
          </cell>
          <cell r="J253">
            <v>303.42628200000001</v>
          </cell>
          <cell r="K253">
            <v>3944.5416660000001</v>
          </cell>
          <cell r="L253">
            <v>0.45</v>
          </cell>
          <cell r="M253">
            <v>150.19999999999999</v>
          </cell>
          <cell r="N253">
            <v>1952.6</v>
          </cell>
          <cell r="O253">
            <v>0.50498684883203371</v>
          </cell>
          <cell r="P253">
            <v>0.5</v>
          </cell>
          <cell r="Q253">
            <v>136.54</v>
          </cell>
        </row>
        <row r="254">
          <cell r="F254" t="str">
            <v>ESPECIALIZAÇÃO EM COSMETOLOGIA ESTÉTICA</v>
          </cell>
          <cell r="G254" t="str">
            <v>Saúde</v>
          </cell>
          <cell r="H254">
            <v>12</v>
          </cell>
          <cell r="I254">
            <v>19</v>
          </cell>
          <cell r="J254">
            <v>300.91749900000002</v>
          </cell>
          <cell r="K254">
            <v>5717.4324810000007</v>
          </cell>
          <cell r="L254">
            <v>0.45</v>
          </cell>
          <cell r="M254">
            <v>148.94999999999999</v>
          </cell>
          <cell r="N254">
            <v>2830.0499999999997</v>
          </cell>
          <cell r="O254">
            <v>0.50501383105008468</v>
          </cell>
          <cell r="P254">
            <v>0.5</v>
          </cell>
          <cell r="Q254">
            <v>135.41</v>
          </cell>
        </row>
        <row r="255">
          <cell r="F255" t="str">
            <v>ESPECIALIZAÇÃO EM CUIDADO FARMACÊUTICO ONCOLÓGICO</v>
          </cell>
          <cell r="G255" t="str">
            <v>Saúde</v>
          </cell>
          <cell r="H255">
            <v>6</v>
          </cell>
          <cell r="I255">
            <v>13</v>
          </cell>
          <cell r="J255">
            <v>439.79280900000003</v>
          </cell>
          <cell r="K255">
            <v>5717.3065170000009</v>
          </cell>
          <cell r="L255">
            <v>0.45</v>
          </cell>
          <cell r="M255">
            <v>217.7</v>
          </cell>
          <cell r="N255">
            <v>2830.1</v>
          </cell>
          <cell r="O255">
            <v>0.50499418011175357</v>
          </cell>
          <cell r="P255">
            <v>0.5</v>
          </cell>
          <cell r="Q255">
            <v>197.91</v>
          </cell>
        </row>
        <row r="256">
          <cell r="F256" t="str">
            <v>ESPECIALIZAÇÃO EM DATA SCIENCE</v>
          </cell>
          <cell r="G256" t="str">
            <v>Exatas</v>
          </cell>
          <cell r="H256">
            <v>12</v>
          </cell>
          <cell r="I256">
            <v>19</v>
          </cell>
          <cell r="J256">
            <v>207.609666</v>
          </cell>
          <cell r="K256">
            <v>3944.583654</v>
          </cell>
          <cell r="L256">
            <v>0.45</v>
          </cell>
          <cell r="M256">
            <v>102.77</v>
          </cell>
          <cell r="N256">
            <v>1952.6299999999999</v>
          </cell>
          <cell r="O256">
            <v>0.50498451261898381</v>
          </cell>
          <cell r="P256">
            <v>0.5</v>
          </cell>
          <cell r="Q256">
            <v>93.42</v>
          </cell>
        </row>
        <row r="257">
          <cell r="F257" t="str">
            <v>ESPECIALIZAÇÃO EM DESIGN DE INTERIORES</v>
          </cell>
          <cell r="G257" t="str">
            <v>Exatas</v>
          </cell>
          <cell r="H257">
            <v>12</v>
          </cell>
          <cell r="I257">
            <v>19</v>
          </cell>
          <cell r="J257">
            <v>207.609666</v>
          </cell>
          <cell r="K257">
            <v>3944.583654</v>
          </cell>
          <cell r="L257">
            <v>0.45</v>
          </cell>
          <cell r="M257">
            <v>102.77</v>
          </cell>
          <cell r="N257">
            <v>1952.6299999999999</v>
          </cell>
          <cell r="O257">
            <v>0.50498451261898381</v>
          </cell>
          <cell r="P257">
            <v>0.5</v>
          </cell>
          <cell r="Q257">
            <v>93.42</v>
          </cell>
        </row>
        <row r="258">
          <cell r="F258" t="str">
            <v>ESPECIALIZAÇÃO EM DESIGN DE INTERIORES COM ÊNFASE EM PROJETOS COMERCIAIS</v>
          </cell>
          <cell r="G258" t="str">
            <v>Exatas</v>
          </cell>
          <cell r="H258">
            <v>12</v>
          </cell>
          <cell r="I258">
            <v>19</v>
          </cell>
          <cell r="J258">
            <v>207.609666</v>
          </cell>
          <cell r="K258">
            <v>3944.583654</v>
          </cell>
          <cell r="L258">
            <v>0.45</v>
          </cell>
          <cell r="M258">
            <v>102.77</v>
          </cell>
          <cell r="N258">
            <v>1952.6299999999999</v>
          </cell>
          <cell r="O258">
            <v>0.50498451261898381</v>
          </cell>
          <cell r="P258">
            <v>0.5</v>
          </cell>
          <cell r="Q258">
            <v>93.42</v>
          </cell>
        </row>
        <row r="259">
          <cell r="F259" t="str">
            <v>ESPECIALIZAÇÃO EM DESIGN DE PROJETOS COMERCIAIS</v>
          </cell>
          <cell r="G259" t="str">
            <v>Exatas</v>
          </cell>
          <cell r="H259">
            <v>6</v>
          </cell>
          <cell r="I259">
            <v>13</v>
          </cell>
          <cell r="J259">
            <v>303.42628200000001</v>
          </cell>
          <cell r="K259">
            <v>3944.5416660000001</v>
          </cell>
          <cell r="L259">
            <v>0.45</v>
          </cell>
          <cell r="M259">
            <v>150.19999999999999</v>
          </cell>
          <cell r="N259">
            <v>1952.6</v>
          </cell>
          <cell r="O259">
            <v>0.50498684883203371</v>
          </cell>
          <cell r="P259">
            <v>0.5</v>
          </cell>
          <cell r="Q259">
            <v>136.54</v>
          </cell>
        </row>
        <row r="260">
          <cell r="F260" t="str">
            <v>ESPECIALIZAÇÃO EM DEVOPS</v>
          </cell>
          <cell r="G260" t="str">
            <v>Exatas</v>
          </cell>
          <cell r="H260">
            <v>6</v>
          </cell>
          <cell r="I260">
            <v>13</v>
          </cell>
          <cell r="J260">
            <v>439.79280900000003</v>
          </cell>
          <cell r="K260">
            <v>5717.3065170000009</v>
          </cell>
          <cell r="L260">
            <v>0.45</v>
          </cell>
          <cell r="M260">
            <v>217.7</v>
          </cell>
          <cell r="N260">
            <v>2830.1</v>
          </cell>
          <cell r="O260">
            <v>0.50499418011175357</v>
          </cell>
          <cell r="P260">
            <v>0.5</v>
          </cell>
          <cell r="Q260">
            <v>197.91</v>
          </cell>
        </row>
        <row r="261">
          <cell r="F261" t="str">
            <v>ESPECIALIZAÇÃO EM DIAGNÓSTICO LABORATORIAL E ANÁLISES CLÍNICAS</v>
          </cell>
          <cell r="G261" t="str">
            <v>Saúde</v>
          </cell>
          <cell r="H261">
            <v>6</v>
          </cell>
          <cell r="I261">
            <v>13</v>
          </cell>
          <cell r="J261">
            <v>439.79280900000003</v>
          </cell>
          <cell r="K261">
            <v>5717.3065170000009</v>
          </cell>
          <cell r="L261">
            <v>0.45</v>
          </cell>
          <cell r="M261">
            <v>217.7</v>
          </cell>
          <cell r="N261">
            <v>2830.1</v>
          </cell>
          <cell r="O261">
            <v>0.50499418011175357</v>
          </cell>
          <cell r="P261">
            <v>0.5</v>
          </cell>
          <cell r="Q261">
            <v>197.91</v>
          </cell>
        </row>
        <row r="262">
          <cell r="F262" t="str">
            <v>ESPECIALIZAÇÃO EM DIDÁTICA E METODOLOGIA DO ENSINO DE GEOGRAFIA</v>
          </cell>
          <cell r="G262" t="str">
            <v>Humanas</v>
          </cell>
          <cell r="H262">
            <v>12</v>
          </cell>
          <cell r="I262">
            <v>19</v>
          </cell>
          <cell r="J262">
            <v>207.609666</v>
          </cell>
          <cell r="K262">
            <v>3944.583654</v>
          </cell>
          <cell r="L262">
            <v>0.45</v>
          </cell>
          <cell r="M262">
            <v>102.77</v>
          </cell>
          <cell r="N262">
            <v>1952.6299999999999</v>
          </cell>
          <cell r="O262">
            <v>0.50498451261898381</v>
          </cell>
          <cell r="P262">
            <v>0.5</v>
          </cell>
          <cell r="Q262">
            <v>93.42</v>
          </cell>
        </row>
        <row r="263">
          <cell r="F263" t="str">
            <v>ESPECIALIZAÇÃO EM DIDÁTICA E METODOLOGIA DO ENSINO DE LÍNGUA PORTUGUESA</v>
          </cell>
          <cell r="G263" t="str">
            <v>Humanas</v>
          </cell>
          <cell r="H263">
            <v>12</v>
          </cell>
          <cell r="I263">
            <v>19</v>
          </cell>
          <cell r="J263">
            <v>207.609666</v>
          </cell>
          <cell r="K263">
            <v>3944.583654</v>
          </cell>
          <cell r="L263">
            <v>0.45</v>
          </cell>
          <cell r="M263">
            <v>102.77</v>
          </cell>
          <cell r="N263">
            <v>1952.6299999999999</v>
          </cell>
          <cell r="O263">
            <v>0.50498451261898381</v>
          </cell>
          <cell r="P263">
            <v>0.5</v>
          </cell>
          <cell r="Q263">
            <v>93.42</v>
          </cell>
        </row>
        <row r="264">
          <cell r="F264" t="str">
            <v>ESPECIALIZAÇÃO EM DIGITAL INFLUENCER</v>
          </cell>
          <cell r="G264" t="str">
            <v>Humanas</v>
          </cell>
          <cell r="H264">
            <v>12</v>
          </cell>
          <cell r="I264">
            <v>19</v>
          </cell>
          <cell r="J264">
            <v>207.609666</v>
          </cell>
          <cell r="K264">
            <v>3944.583654</v>
          </cell>
          <cell r="L264">
            <v>0.45</v>
          </cell>
          <cell r="M264">
            <v>102.77</v>
          </cell>
          <cell r="N264">
            <v>1952.6299999999999</v>
          </cell>
          <cell r="O264">
            <v>0.50498451261898381</v>
          </cell>
          <cell r="P264">
            <v>0.5</v>
          </cell>
          <cell r="Q264">
            <v>93.42</v>
          </cell>
        </row>
        <row r="265">
          <cell r="F265" t="str">
            <v>ESPECIALIZAÇÃO EM DIGITAL SECURITY</v>
          </cell>
          <cell r="G265" t="str">
            <v>Exatas</v>
          </cell>
          <cell r="H265">
            <v>12</v>
          </cell>
          <cell r="I265">
            <v>19</v>
          </cell>
          <cell r="J265">
            <v>207.609666</v>
          </cell>
          <cell r="K265">
            <v>3944.583654</v>
          </cell>
          <cell r="L265">
            <v>0.45</v>
          </cell>
          <cell r="M265">
            <v>102.77</v>
          </cell>
          <cell r="N265">
            <v>1952.6299999999999</v>
          </cell>
          <cell r="O265">
            <v>0.50498451261898381</v>
          </cell>
          <cell r="P265">
            <v>0.5</v>
          </cell>
          <cell r="Q265">
            <v>93.42</v>
          </cell>
        </row>
        <row r="266">
          <cell r="F266" t="str">
            <v>ESPECIALIZAÇÃO EM DIREITO AMBIENTAL</v>
          </cell>
          <cell r="G266" t="str">
            <v>Humanas</v>
          </cell>
          <cell r="H266">
            <v>12</v>
          </cell>
          <cell r="I266">
            <v>19</v>
          </cell>
          <cell r="J266">
            <v>300.91749900000002</v>
          </cell>
          <cell r="K266">
            <v>5717.4324810000007</v>
          </cell>
          <cell r="L266">
            <v>0.45</v>
          </cell>
          <cell r="M266">
            <v>148.94999999999999</v>
          </cell>
          <cell r="N266">
            <v>2830.0499999999997</v>
          </cell>
          <cell r="O266">
            <v>0.50501383105008468</v>
          </cell>
          <cell r="P266">
            <v>0.5</v>
          </cell>
          <cell r="Q266">
            <v>135.41</v>
          </cell>
        </row>
        <row r="267">
          <cell r="F267" t="str">
            <v>ESPECIALIZAÇÃO EM DIREITO CIVIL</v>
          </cell>
          <cell r="G267" t="str">
            <v>Humanas</v>
          </cell>
          <cell r="H267">
            <v>6</v>
          </cell>
          <cell r="I267">
            <v>13</v>
          </cell>
          <cell r="J267">
            <v>439.79280900000003</v>
          </cell>
          <cell r="K267">
            <v>5717.3065170000009</v>
          </cell>
          <cell r="L267">
            <v>0.45</v>
          </cell>
          <cell r="M267">
            <v>217.7</v>
          </cell>
          <cell r="N267">
            <v>2830.1</v>
          </cell>
          <cell r="O267">
            <v>0.50499418011175357</v>
          </cell>
          <cell r="P267">
            <v>0.5</v>
          </cell>
          <cell r="Q267">
            <v>197.91</v>
          </cell>
        </row>
        <row r="268">
          <cell r="F268" t="str">
            <v>ESPECIALIZAÇÃO EM DIREITO CIVIL E PROCESSO CIVIL</v>
          </cell>
          <cell r="G268" t="str">
            <v>Humanas</v>
          </cell>
          <cell r="H268">
            <v>12</v>
          </cell>
          <cell r="I268">
            <v>19</v>
          </cell>
          <cell r="J268">
            <v>300.91749900000002</v>
          </cell>
          <cell r="K268">
            <v>5717.4324810000007</v>
          </cell>
          <cell r="L268">
            <v>0.45</v>
          </cell>
          <cell r="M268">
            <v>148.94999999999999</v>
          </cell>
          <cell r="N268">
            <v>2830.0499999999997</v>
          </cell>
          <cell r="O268">
            <v>0.50501383105008468</v>
          </cell>
          <cell r="P268">
            <v>0.5</v>
          </cell>
          <cell r="Q268">
            <v>135.41</v>
          </cell>
        </row>
        <row r="269">
          <cell r="F269" t="str">
            <v>ESPECIALIZAÇÃO EM DIREITO DO CONSUMIDOR</v>
          </cell>
          <cell r="G269" t="str">
            <v>Humanas</v>
          </cell>
          <cell r="H269">
            <v>12</v>
          </cell>
          <cell r="I269">
            <v>19</v>
          </cell>
          <cell r="J269">
            <v>300.91749900000002</v>
          </cell>
          <cell r="K269">
            <v>5717.4324810000007</v>
          </cell>
          <cell r="L269">
            <v>0.45</v>
          </cell>
          <cell r="M269">
            <v>148.94999999999999</v>
          </cell>
          <cell r="N269">
            <v>2830.0499999999997</v>
          </cell>
          <cell r="O269">
            <v>0.50501383105008468</v>
          </cell>
          <cell r="P269">
            <v>0.5</v>
          </cell>
          <cell r="Q269">
            <v>135.41</v>
          </cell>
        </row>
        <row r="270">
          <cell r="F270" t="str">
            <v>ESPECIALIZAÇÃO EM DIREITO DO TRABALHO</v>
          </cell>
          <cell r="G270" t="str">
            <v>Humanas</v>
          </cell>
          <cell r="H270">
            <v>6</v>
          </cell>
          <cell r="I270">
            <v>13</v>
          </cell>
          <cell r="J270">
            <v>439.79280900000003</v>
          </cell>
          <cell r="K270">
            <v>5717.3065170000009</v>
          </cell>
          <cell r="L270">
            <v>0.45</v>
          </cell>
          <cell r="M270">
            <v>217.7</v>
          </cell>
          <cell r="N270">
            <v>2830.1</v>
          </cell>
          <cell r="O270">
            <v>0.50499418011175357</v>
          </cell>
          <cell r="P270">
            <v>0.5</v>
          </cell>
          <cell r="Q270">
            <v>197.91</v>
          </cell>
        </row>
        <row r="271">
          <cell r="F271" t="str">
            <v>ESPECIALIZAÇÃO EM DIREITO E MEIO AMBIENTE</v>
          </cell>
          <cell r="G271" t="str">
            <v>Humanas</v>
          </cell>
          <cell r="H271">
            <v>6</v>
          </cell>
          <cell r="I271">
            <v>13</v>
          </cell>
          <cell r="J271">
            <v>439.79280900000003</v>
          </cell>
          <cell r="K271">
            <v>5717.3065170000009</v>
          </cell>
          <cell r="L271">
            <v>0.45</v>
          </cell>
          <cell r="M271">
            <v>217.7</v>
          </cell>
          <cell r="N271">
            <v>2830.1</v>
          </cell>
          <cell r="O271">
            <v>0.50499418011175357</v>
          </cell>
          <cell r="P271">
            <v>0.5</v>
          </cell>
          <cell r="Q271">
            <v>197.91</v>
          </cell>
        </row>
        <row r="272">
          <cell r="F272" t="str">
            <v>ESPECIALIZAÇÃO EM DIREITO ELEITORAL</v>
          </cell>
          <cell r="G272" t="str">
            <v>Humanas</v>
          </cell>
          <cell r="H272">
            <v>12</v>
          </cell>
          <cell r="I272">
            <v>19</v>
          </cell>
          <cell r="J272">
            <v>300.91749900000002</v>
          </cell>
          <cell r="K272">
            <v>5717.4324810000007</v>
          </cell>
          <cell r="L272">
            <v>0.45</v>
          </cell>
          <cell r="M272">
            <v>148.94999999999999</v>
          </cell>
          <cell r="N272">
            <v>2830.0499999999997</v>
          </cell>
          <cell r="O272">
            <v>0.50501383105008468</v>
          </cell>
          <cell r="P272">
            <v>0.5</v>
          </cell>
          <cell r="Q272">
            <v>135.41</v>
          </cell>
        </row>
        <row r="273">
          <cell r="F273" t="str">
            <v>ESPECIALIZAÇÃO EM DIREITO MATERIAL E PROCESSUAL DO TRABALHO</v>
          </cell>
          <cell r="G273" t="str">
            <v>Humanas</v>
          </cell>
          <cell r="H273">
            <v>12</v>
          </cell>
          <cell r="I273">
            <v>19</v>
          </cell>
          <cell r="J273">
            <v>300.91749900000002</v>
          </cell>
          <cell r="K273">
            <v>5717.4324810000007</v>
          </cell>
          <cell r="L273">
            <v>0.45</v>
          </cell>
          <cell r="M273">
            <v>148.94999999999999</v>
          </cell>
          <cell r="N273">
            <v>2830.0499999999997</v>
          </cell>
          <cell r="O273">
            <v>0.50501383105008468</v>
          </cell>
          <cell r="P273">
            <v>0.5</v>
          </cell>
          <cell r="Q273">
            <v>135.41</v>
          </cell>
        </row>
        <row r="274">
          <cell r="F274" t="str">
            <v>ESPECIALIZAÇÃO EM DIREITO NAS RELAÇÕES DE CONSUMO</v>
          </cell>
          <cell r="G274" t="str">
            <v>Humanas</v>
          </cell>
          <cell r="H274">
            <v>6</v>
          </cell>
          <cell r="I274">
            <v>13</v>
          </cell>
          <cell r="J274">
            <v>439.79280900000003</v>
          </cell>
          <cell r="K274">
            <v>5717.3065170000009</v>
          </cell>
          <cell r="L274">
            <v>0.45</v>
          </cell>
          <cell r="M274">
            <v>217.7</v>
          </cell>
          <cell r="N274">
            <v>2830.1</v>
          </cell>
          <cell r="O274">
            <v>0.50499418011175357</v>
          </cell>
          <cell r="P274">
            <v>0.5</v>
          </cell>
          <cell r="Q274">
            <v>197.91</v>
          </cell>
        </row>
        <row r="275">
          <cell r="F275" t="str">
            <v>ESPECIALIZAÇÃO EM DIREITO PÚBLICO</v>
          </cell>
          <cell r="G275" t="str">
            <v>Humanas</v>
          </cell>
          <cell r="H275">
            <v>12</v>
          </cell>
          <cell r="I275">
            <v>19</v>
          </cell>
          <cell r="J275">
            <v>300.91749900000002</v>
          </cell>
          <cell r="K275">
            <v>5717.4324810000007</v>
          </cell>
          <cell r="L275">
            <v>0.45</v>
          </cell>
          <cell r="M275">
            <v>148.94999999999999</v>
          </cell>
          <cell r="N275">
            <v>2830.0499999999997</v>
          </cell>
          <cell r="O275">
            <v>0.50501383105008468</v>
          </cell>
          <cell r="P275">
            <v>0.5</v>
          </cell>
          <cell r="Q275">
            <v>135.41</v>
          </cell>
        </row>
        <row r="276">
          <cell r="F276" t="str">
            <v>ESPECIALIZAÇÃO EM DIREITO PÚBLICO E ADMINISTRAÇÃO PÚBLICA</v>
          </cell>
          <cell r="G276" t="str">
            <v>Humanas</v>
          </cell>
          <cell r="H276">
            <v>12</v>
          </cell>
          <cell r="I276">
            <v>19</v>
          </cell>
          <cell r="J276">
            <v>207.609666</v>
          </cell>
          <cell r="K276">
            <v>3944.583654</v>
          </cell>
          <cell r="L276">
            <v>0.45</v>
          </cell>
          <cell r="M276">
            <v>102.77</v>
          </cell>
          <cell r="N276">
            <v>1952.6299999999999</v>
          </cell>
          <cell r="O276">
            <v>0.50498451261898381</v>
          </cell>
          <cell r="P276">
            <v>0.5</v>
          </cell>
          <cell r="Q276">
            <v>93.42</v>
          </cell>
        </row>
        <row r="277">
          <cell r="F277" t="str">
            <v>ESPECIALIZAÇÃO EM DIREITO PÚBLICO E ORGANIZAÇÃO PÚBLICA</v>
          </cell>
          <cell r="G277" t="str">
            <v>Humanas</v>
          </cell>
          <cell r="H277">
            <v>6</v>
          </cell>
          <cell r="I277">
            <v>13</v>
          </cell>
          <cell r="J277">
            <v>439.79280900000003</v>
          </cell>
          <cell r="K277">
            <v>5717.3065170000009</v>
          </cell>
          <cell r="L277">
            <v>0.45</v>
          </cell>
          <cell r="M277">
            <v>217.7</v>
          </cell>
          <cell r="N277">
            <v>2830.1</v>
          </cell>
          <cell r="O277">
            <v>0.50499418011175357</v>
          </cell>
          <cell r="P277">
            <v>0.5</v>
          </cell>
          <cell r="Q277">
            <v>197.91</v>
          </cell>
        </row>
        <row r="278">
          <cell r="F278" t="str">
            <v>ESPECIALIZAÇÃO EM DOCÊNCIA DA EDUCAÇÃO SUPERIOR</v>
          </cell>
          <cell r="G278" t="str">
            <v>Humanas</v>
          </cell>
          <cell r="H278">
            <v>6</v>
          </cell>
          <cell r="I278">
            <v>13</v>
          </cell>
          <cell r="J278">
            <v>303.42628200000001</v>
          </cell>
          <cell r="K278">
            <v>3944.5416660000001</v>
          </cell>
          <cell r="L278">
            <v>0.45</v>
          </cell>
          <cell r="M278">
            <v>150.19999999999999</v>
          </cell>
          <cell r="N278">
            <v>1952.6</v>
          </cell>
          <cell r="O278">
            <v>0.50498684883203371</v>
          </cell>
          <cell r="P278">
            <v>0.5</v>
          </cell>
          <cell r="Q278">
            <v>136.54</v>
          </cell>
        </row>
        <row r="279">
          <cell r="F279" t="str">
            <v>ESPECIALIZAÇÃO EM DOCÊNCIA DO ENSINO SUPERIOR</v>
          </cell>
          <cell r="G279" t="str">
            <v>Humanas</v>
          </cell>
          <cell r="H279">
            <v>12</v>
          </cell>
          <cell r="I279">
            <v>19</v>
          </cell>
          <cell r="J279">
            <v>207.609666</v>
          </cell>
          <cell r="K279">
            <v>3944.583654</v>
          </cell>
          <cell r="L279">
            <v>0.45</v>
          </cell>
          <cell r="M279">
            <v>102.77</v>
          </cell>
          <cell r="N279">
            <v>1952.6299999999999</v>
          </cell>
          <cell r="O279">
            <v>0.50498451261898381</v>
          </cell>
          <cell r="P279">
            <v>0.5</v>
          </cell>
          <cell r="Q279">
            <v>93.42</v>
          </cell>
        </row>
        <row r="280">
          <cell r="F280" t="str">
            <v>ESPECIALIZAÇÃO EM DOCÊNCIA E GESTÃO DO ENSINO SUPERIOR</v>
          </cell>
          <cell r="G280" t="str">
            <v>Humanas</v>
          </cell>
          <cell r="H280">
            <v>12</v>
          </cell>
          <cell r="I280">
            <v>19</v>
          </cell>
          <cell r="J280">
            <v>207.609666</v>
          </cell>
          <cell r="K280">
            <v>3944.583654</v>
          </cell>
          <cell r="L280">
            <v>0.45</v>
          </cell>
          <cell r="M280">
            <v>102.77</v>
          </cell>
          <cell r="N280">
            <v>1952.6299999999999</v>
          </cell>
          <cell r="O280">
            <v>0.50498451261898381</v>
          </cell>
          <cell r="P280">
            <v>0.5</v>
          </cell>
          <cell r="Q280">
            <v>93.42</v>
          </cell>
        </row>
        <row r="281">
          <cell r="F281" t="str">
            <v>ESPECIALIZAÇÃO EM EDUCAÇÃO AMBIENTAL</v>
          </cell>
          <cell r="G281" t="str">
            <v>Humanas</v>
          </cell>
          <cell r="H281">
            <v>12</v>
          </cell>
          <cell r="I281">
            <v>19</v>
          </cell>
          <cell r="J281">
            <v>207.609666</v>
          </cell>
          <cell r="K281">
            <v>3944.583654</v>
          </cell>
          <cell r="L281">
            <v>0.45</v>
          </cell>
          <cell r="M281">
            <v>102.77</v>
          </cell>
          <cell r="N281">
            <v>1952.6299999999999</v>
          </cell>
          <cell r="O281">
            <v>0.50498451261898381</v>
          </cell>
          <cell r="P281">
            <v>0.5</v>
          </cell>
          <cell r="Q281">
            <v>93.42</v>
          </cell>
        </row>
        <row r="282">
          <cell r="F282" t="str">
            <v>ESPECIALIZAÇÃO EM EDUCAÇÃO EM MEIO AMBIENTE</v>
          </cell>
          <cell r="G282" t="str">
            <v>Humanas</v>
          </cell>
          <cell r="H282">
            <v>6</v>
          </cell>
          <cell r="I282">
            <v>13</v>
          </cell>
          <cell r="J282">
            <v>303.42628200000001</v>
          </cell>
          <cell r="K282">
            <v>3944.5416660000001</v>
          </cell>
          <cell r="L282">
            <v>0.45</v>
          </cell>
          <cell r="M282">
            <v>150.19999999999999</v>
          </cell>
          <cell r="N282">
            <v>1952.6</v>
          </cell>
          <cell r="O282">
            <v>0.50498684883203371</v>
          </cell>
          <cell r="P282">
            <v>0.5</v>
          </cell>
          <cell r="Q282">
            <v>136.54</v>
          </cell>
        </row>
        <row r="283">
          <cell r="F283" t="str">
            <v>ESPECIALIZAÇÃO EM EDUCAÇÃO ESPECIAL</v>
          </cell>
          <cell r="G283" t="str">
            <v>Humanas</v>
          </cell>
          <cell r="H283">
            <v>12</v>
          </cell>
          <cell r="I283">
            <v>19</v>
          </cell>
          <cell r="J283">
            <v>207.609666</v>
          </cell>
          <cell r="K283">
            <v>3944.583654</v>
          </cell>
          <cell r="L283">
            <v>0.45</v>
          </cell>
          <cell r="M283">
            <v>102.77</v>
          </cell>
          <cell r="N283">
            <v>1952.6299999999999</v>
          </cell>
          <cell r="O283">
            <v>0.50498451261898381</v>
          </cell>
          <cell r="P283">
            <v>0.5</v>
          </cell>
          <cell r="Q283">
            <v>93.42</v>
          </cell>
        </row>
        <row r="284">
          <cell r="F284" t="str">
            <v>ESPECIALIZAÇÃO EM EDUCAÇÃO ESPECIAL E INCLUSIVA</v>
          </cell>
          <cell r="G284" t="str">
            <v>Humanas</v>
          </cell>
          <cell r="H284">
            <v>6</v>
          </cell>
          <cell r="I284">
            <v>13</v>
          </cell>
          <cell r="J284">
            <v>303.42628200000001</v>
          </cell>
          <cell r="K284">
            <v>3944.5416660000001</v>
          </cell>
          <cell r="L284">
            <v>0.45</v>
          </cell>
          <cell r="M284">
            <v>150.19999999999999</v>
          </cell>
          <cell r="N284">
            <v>1952.6</v>
          </cell>
          <cell r="O284">
            <v>0.50498684883203371</v>
          </cell>
          <cell r="P284">
            <v>0.5</v>
          </cell>
          <cell r="Q284">
            <v>136.54</v>
          </cell>
        </row>
        <row r="285">
          <cell r="F285" t="str">
            <v>ESPECIALIZAÇÃO EM EDUCAÇÃO FINANCEIRA</v>
          </cell>
          <cell r="G285" t="str">
            <v>Humanas</v>
          </cell>
          <cell r="H285">
            <v>12</v>
          </cell>
          <cell r="I285">
            <v>19</v>
          </cell>
          <cell r="J285">
            <v>207.609666</v>
          </cell>
          <cell r="K285">
            <v>3944.583654</v>
          </cell>
          <cell r="L285">
            <v>0.45</v>
          </cell>
          <cell r="M285">
            <v>102.77</v>
          </cell>
          <cell r="N285">
            <v>1952.6299999999999</v>
          </cell>
          <cell r="O285">
            <v>0.50498451261898381</v>
          </cell>
          <cell r="P285">
            <v>0.5</v>
          </cell>
          <cell r="Q285">
            <v>93.42</v>
          </cell>
        </row>
        <row r="286">
          <cell r="F286" t="str">
            <v>ESPECIALIZAÇÃO EM EDUCAÇÃO INFANTIL</v>
          </cell>
          <cell r="G286" t="str">
            <v>Humanas</v>
          </cell>
          <cell r="H286">
            <v>12</v>
          </cell>
          <cell r="I286">
            <v>19</v>
          </cell>
          <cell r="J286">
            <v>207.609666</v>
          </cell>
          <cell r="K286">
            <v>3944.583654</v>
          </cell>
          <cell r="L286">
            <v>0.45</v>
          </cell>
          <cell r="M286">
            <v>102.77</v>
          </cell>
          <cell r="N286">
            <v>1952.6299999999999</v>
          </cell>
          <cell r="O286">
            <v>0.50498451261898381</v>
          </cell>
          <cell r="P286">
            <v>0.5</v>
          </cell>
          <cell r="Q286">
            <v>93.42</v>
          </cell>
        </row>
        <row r="287">
          <cell r="F287" t="str">
            <v>ESPECIALIZAÇÃO EM EDUCAÇÃO INFANTIL E ALFABETIZAÇÃO</v>
          </cell>
          <cell r="G287" t="str">
            <v>Humanas</v>
          </cell>
          <cell r="H287">
            <v>6</v>
          </cell>
          <cell r="I287">
            <v>13</v>
          </cell>
          <cell r="J287">
            <v>303.42628200000001</v>
          </cell>
          <cell r="K287">
            <v>3944.5416660000001</v>
          </cell>
          <cell r="L287">
            <v>0.45</v>
          </cell>
          <cell r="M287">
            <v>150.19999999999999</v>
          </cell>
          <cell r="N287">
            <v>1952.6</v>
          </cell>
          <cell r="O287">
            <v>0.50498684883203371</v>
          </cell>
          <cell r="P287">
            <v>0.5</v>
          </cell>
          <cell r="Q287">
            <v>136.54</v>
          </cell>
        </row>
        <row r="288">
          <cell r="F288" t="str">
            <v>ESPECIALIZAÇÃO EM EDUCAÇÃO, JOGOS E LUDICIDADE PARA O ENSINO</v>
          </cell>
          <cell r="G288" t="str">
            <v>Humanas</v>
          </cell>
          <cell r="H288">
            <v>12</v>
          </cell>
          <cell r="I288">
            <v>19</v>
          </cell>
          <cell r="J288">
            <v>207.609666</v>
          </cell>
          <cell r="K288">
            <v>3944.583654</v>
          </cell>
          <cell r="L288">
            <v>0.45</v>
          </cell>
          <cell r="M288">
            <v>102.77</v>
          </cell>
          <cell r="N288">
            <v>1952.6299999999999</v>
          </cell>
          <cell r="O288">
            <v>0.50498451261898381</v>
          </cell>
          <cell r="P288">
            <v>0.5</v>
          </cell>
          <cell r="Q288">
            <v>93.42</v>
          </cell>
        </row>
        <row r="289">
          <cell r="F289" t="str">
            <v>ESPECIALIZAÇÃO EM ENFERMAGEM COM FOCO EM ONCOLOGIA</v>
          </cell>
          <cell r="G289" t="str">
            <v>Saúde</v>
          </cell>
          <cell r="H289">
            <v>6</v>
          </cell>
          <cell r="I289">
            <v>13</v>
          </cell>
          <cell r="J289">
            <v>439.79280900000003</v>
          </cell>
          <cell r="K289">
            <v>5717.3065170000009</v>
          </cell>
          <cell r="L289">
            <v>0.45</v>
          </cell>
          <cell r="M289">
            <v>217.7</v>
          </cell>
          <cell r="N289">
            <v>2830.1</v>
          </cell>
          <cell r="O289">
            <v>0.50499418011175357</v>
          </cell>
          <cell r="P289">
            <v>0.5</v>
          </cell>
          <cell r="Q289">
            <v>197.91</v>
          </cell>
        </row>
        <row r="290">
          <cell r="F290" t="str">
            <v>ESPECIALIZAÇÃO EM ENFERMAGEM ONCOLÓGICA</v>
          </cell>
          <cell r="G290" t="str">
            <v>Saúde</v>
          </cell>
          <cell r="H290">
            <v>12</v>
          </cell>
          <cell r="I290">
            <v>19</v>
          </cell>
          <cell r="J290">
            <v>300.91749900000002</v>
          </cell>
          <cell r="K290">
            <v>5717.4324810000007</v>
          </cell>
          <cell r="L290">
            <v>0.45</v>
          </cell>
          <cell r="M290">
            <v>148.94999999999999</v>
          </cell>
          <cell r="N290">
            <v>2830.0499999999997</v>
          </cell>
          <cell r="O290">
            <v>0.50501383105008468</v>
          </cell>
          <cell r="P290">
            <v>0.5</v>
          </cell>
          <cell r="Q290">
            <v>135.41</v>
          </cell>
        </row>
        <row r="291">
          <cell r="F291" t="str">
            <v>ESPECIALIZAÇÃO EM ENGENHARIA AMBIENTAL E SANEAMENTO BÁSICO</v>
          </cell>
          <cell r="G291" t="str">
            <v>Exatas</v>
          </cell>
          <cell r="H291">
            <v>6</v>
          </cell>
          <cell r="I291">
            <v>13</v>
          </cell>
          <cell r="J291">
            <v>303.42628200000001</v>
          </cell>
          <cell r="K291">
            <v>3944.5416660000001</v>
          </cell>
          <cell r="L291">
            <v>0.45</v>
          </cell>
          <cell r="M291">
            <v>150.19999999999999</v>
          </cell>
          <cell r="N291">
            <v>1952.6</v>
          </cell>
          <cell r="O291">
            <v>0.50498684883203371</v>
          </cell>
          <cell r="P291">
            <v>0.5</v>
          </cell>
          <cell r="Q291">
            <v>136.54</v>
          </cell>
        </row>
        <row r="292">
          <cell r="F292" t="str">
            <v>ESPECIALIZAÇÃO EM ENGENHARIA DE DEVOPS</v>
          </cell>
          <cell r="G292" t="str">
            <v>Exatas</v>
          </cell>
          <cell r="H292">
            <v>12</v>
          </cell>
          <cell r="I292">
            <v>19</v>
          </cell>
          <cell r="J292">
            <v>300.91749900000002</v>
          </cell>
          <cell r="K292">
            <v>5717.4324810000007</v>
          </cell>
          <cell r="L292">
            <v>0.45</v>
          </cell>
          <cell r="M292">
            <v>148.94999999999999</v>
          </cell>
          <cell r="N292">
            <v>2830.0499999999997</v>
          </cell>
          <cell r="O292">
            <v>0.50501383105008468</v>
          </cell>
          <cell r="P292">
            <v>0.5</v>
          </cell>
          <cell r="Q292">
            <v>135.41</v>
          </cell>
        </row>
        <row r="293">
          <cell r="F293" t="str">
            <v>ESPECIALIZAÇÃO EM ENGENHARIA DE OPERAÇÕES E LOGÍSTICAS</v>
          </cell>
          <cell r="G293" t="str">
            <v>Exatas</v>
          </cell>
          <cell r="H293">
            <v>6</v>
          </cell>
          <cell r="I293">
            <v>13</v>
          </cell>
          <cell r="J293">
            <v>303.42628200000001</v>
          </cell>
          <cell r="K293">
            <v>3944.5416660000001</v>
          </cell>
          <cell r="L293">
            <v>0.45</v>
          </cell>
          <cell r="M293">
            <v>150.19999999999999</v>
          </cell>
          <cell r="N293">
            <v>1952.6</v>
          </cell>
          <cell r="O293">
            <v>0.50498684883203371</v>
          </cell>
          <cell r="P293">
            <v>0.5</v>
          </cell>
          <cell r="Q293">
            <v>136.54</v>
          </cell>
        </row>
        <row r="294">
          <cell r="F294" t="str">
            <v>ESPECIALIZAÇÃO EM ENGENHARIA DE PRODUÇÃO</v>
          </cell>
          <cell r="G294" t="str">
            <v>Exatas</v>
          </cell>
          <cell r="H294">
            <v>12</v>
          </cell>
          <cell r="I294">
            <v>19</v>
          </cell>
          <cell r="J294">
            <v>207.609666</v>
          </cell>
          <cell r="K294">
            <v>3944.583654</v>
          </cell>
          <cell r="L294">
            <v>0.45</v>
          </cell>
          <cell r="M294">
            <v>102.77</v>
          </cell>
          <cell r="N294">
            <v>1952.6299999999999</v>
          </cell>
          <cell r="O294">
            <v>0.50498451261898381</v>
          </cell>
          <cell r="P294">
            <v>0.5</v>
          </cell>
          <cell r="Q294">
            <v>93.42</v>
          </cell>
        </row>
        <row r="295">
          <cell r="F295" t="str">
            <v>ESPECIALIZAÇÃO EM ENGENHARIA DE PRODUÇÃO E OPERAÇÕES</v>
          </cell>
          <cell r="G295" t="str">
            <v>Exatas</v>
          </cell>
          <cell r="H295">
            <v>6</v>
          </cell>
          <cell r="I295">
            <v>13</v>
          </cell>
          <cell r="J295">
            <v>303.42628200000001</v>
          </cell>
          <cell r="K295">
            <v>3944.5416660000001</v>
          </cell>
          <cell r="L295">
            <v>0.45</v>
          </cell>
          <cell r="M295">
            <v>150.19999999999999</v>
          </cell>
          <cell r="N295">
            <v>1952.6</v>
          </cell>
          <cell r="O295">
            <v>0.50498684883203371</v>
          </cell>
          <cell r="P295">
            <v>0.5</v>
          </cell>
          <cell r="Q295">
            <v>136.54</v>
          </cell>
        </row>
        <row r="296">
          <cell r="F296" t="str">
            <v>ESPECIALIZAÇÃO EM ENGENHARIA, MEIO AMBIENTE E SANEAMENTO BÁSICO</v>
          </cell>
          <cell r="G296" t="str">
            <v>Exatas</v>
          </cell>
          <cell r="H296">
            <v>12</v>
          </cell>
          <cell r="I296">
            <v>19</v>
          </cell>
          <cell r="J296">
            <v>207.609666</v>
          </cell>
          <cell r="K296">
            <v>3944.583654</v>
          </cell>
          <cell r="L296">
            <v>0.45</v>
          </cell>
          <cell r="M296">
            <v>102.77</v>
          </cell>
          <cell r="N296">
            <v>1952.6299999999999</v>
          </cell>
          <cell r="O296">
            <v>0.50498451261898381</v>
          </cell>
          <cell r="P296">
            <v>0.5</v>
          </cell>
          <cell r="Q296">
            <v>93.42</v>
          </cell>
        </row>
        <row r="297">
          <cell r="F297" t="str">
            <v>ESPECIALIZAÇÃO EM EPIDEMIOLOGIA E VIGILÂNCIA EM SAÚDE</v>
          </cell>
          <cell r="G297" t="str">
            <v>Saúde</v>
          </cell>
          <cell r="H297">
            <v>12</v>
          </cell>
          <cell r="I297">
            <v>19</v>
          </cell>
          <cell r="J297">
            <v>300.91749900000002</v>
          </cell>
          <cell r="K297">
            <v>5717.4324810000007</v>
          </cell>
          <cell r="L297">
            <v>0.45</v>
          </cell>
          <cell r="M297">
            <v>148.94999999999999</v>
          </cell>
          <cell r="N297">
            <v>2830.0499999999997</v>
          </cell>
          <cell r="O297">
            <v>0.50501383105008468</v>
          </cell>
          <cell r="P297">
            <v>0.5</v>
          </cell>
          <cell r="Q297">
            <v>135.41</v>
          </cell>
        </row>
        <row r="298">
          <cell r="F298" t="str">
            <v>ESPECIALIZAÇÃO EM ESTÉTICA E COSMETOLOGIA</v>
          </cell>
          <cell r="G298" t="str">
            <v>Saúde</v>
          </cell>
          <cell r="H298">
            <v>6</v>
          </cell>
          <cell r="I298">
            <v>13</v>
          </cell>
          <cell r="J298">
            <v>439.79280900000003</v>
          </cell>
          <cell r="K298">
            <v>5717.3065170000009</v>
          </cell>
          <cell r="L298">
            <v>0.45</v>
          </cell>
          <cell r="M298">
            <v>217.7</v>
          </cell>
          <cell r="N298">
            <v>2830.1</v>
          </cell>
          <cell r="O298">
            <v>0.50499418011175357</v>
          </cell>
          <cell r="P298">
            <v>0.5</v>
          </cell>
          <cell r="Q298">
            <v>197.91</v>
          </cell>
        </row>
        <row r="299">
          <cell r="F299" t="str">
            <v>ESPECIALIZAÇÃO EM ESTRATÉGIA EM SAÚDE DA FAMÍLIA</v>
          </cell>
          <cell r="G299" t="str">
            <v>Saúde</v>
          </cell>
          <cell r="H299">
            <v>6</v>
          </cell>
          <cell r="I299">
            <v>13</v>
          </cell>
          <cell r="J299">
            <v>439.79280900000003</v>
          </cell>
          <cell r="K299">
            <v>5717.3065170000009</v>
          </cell>
          <cell r="L299">
            <v>0.45</v>
          </cell>
          <cell r="M299">
            <v>217.7</v>
          </cell>
          <cell r="N299">
            <v>2830.1</v>
          </cell>
          <cell r="O299">
            <v>0.50499418011175357</v>
          </cell>
          <cell r="P299">
            <v>0.5</v>
          </cell>
          <cell r="Q299">
            <v>197.91</v>
          </cell>
        </row>
        <row r="300">
          <cell r="F300" t="str">
            <v>ESPECIALIZAÇÃO EM FARMÁCIA HOSPITALAR</v>
          </cell>
          <cell r="G300" t="str">
            <v>Saúde</v>
          </cell>
          <cell r="H300">
            <v>12</v>
          </cell>
          <cell r="I300">
            <v>19</v>
          </cell>
          <cell r="J300">
            <v>300.91749900000002</v>
          </cell>
          <cell r="K300">
            <v>5717.4324810000007</v>
          </cell>
          <cell r="L300">
            <v>0.45</v>
          </cell>
          <cell r="M300">
            <v>148.94999999999999</v>
          </cell>
          <cell r="N300">
            <v>2830.0499999999997</v>
          </cell>
          <cell r="O300">
            <v>0.50501383105008468</v>
          </cell>
          <cell r="P300">
            <v>0.5</v>
          </cell>
          <cell r="Q300">
            <v>135.41</v>
          </cell>
        </row>
        <row r="301">
          <cell r="F301" t="str">
            <v>ESPECIALIZAÇÃO EM FARMÁCIA ONCOLÓGICA</v>
          </cell>
          <cell r="G301" t="str">
            <v>Saúde</v>
          </cell>
          <cell r="H301">
            <v>12</v>
          </cell>
          <cell r="I301">
            <v>19</v>
          </cell>
          <cell r="J301">
            <v>300.91749900000002</v>
          </cell>
          <cell r="K301">
            <v>5717.4324810000007</v>
          </cell>
          <cell r="L301">
            <v>0.45</v>
          </cell>
          <cell r="M301">
            <v>148.94999999999999</v>
          </cell>
          <cell r="N301">
            <v>2830.0499999999997</v>
          </cell>
          <cell r="O301">
            <v>0.50501383105008468</v>
          </cell>
          <cell r="P301">
            <v>0.5</v>
          </cell>
          <cell r="Q301">
            <v>135.41</v>
          </cell>
        </row>
        <row r="302">
          <cell r="F302" t="str">
            <v>ESPECIALIZAÇÃO EM FARMACOLOGIA CLÍNICA</v>
          </cell>
          <cell r="G302" t="str">
            <v>Saúde</v>
          </cell>
          <cell r="H302">
            <v>12</v>
          </cell>
          <cell r="I302">
            <v>19</v>
          </cell>
          <cell r="J302">
            <v>300.91749900000002</v>
          </cell>
          <cell r="K302">
            <v>5717.4324810000007</v>
          </cell>
          <cell r="L302">
            <v>0.45</v>
          </cell>
          <cell r="M302">
            <v>148.94999999999999</v>
          </cell>
          <cell r="N302">
            <v>2830.0499999999997</v>
          </cell>
          <cell r="O302">
            <v>0.50501383105008468</v>
          </cell>
          <cell r="P302">
            <v>0.5</v>
          </cell>
          <cell r="Q302">
            <v>135.41</v>
          </cell>
        </row>
        <row r="303">
          <cell r="F303" t="str">
            <v>ESPECIALIZAÇÃO EM FARMACOLOGIA CLÍNICA APLICADA</v>
          </cell>
          <cell r="G303" t="str">
            <v>Saúde</v>
          </cell>
          <cell r="H303">
            <v>6</v>
          </cell>
          <cell r="I303">
            <v>13</v>
          </cell>
          <cell r="J303">
            <v>439.79280900000003</v>
          </cell>
          <cell r="K303">
            <v>5717.3065170000009</v>
          </cell>
          <cell r="L303">
            <v>0.45</v>
          </cell>
          <cell r="M303">
            <v>217.7</v>
          </cell>
          <cell r="N303">
            <v>2830.1</v>
          </cell>
          <cell r="O303">
            <v>0.50499418011175357</v>
          </cell>
          <cell r="P303">
            <v>0.5</v>
          </cell>
          <cell r="Q303">
            <v>197.91</v>
          </cell>
        </row>
        <row r="304">
          <cell r="F304" t="str">
            <v>ESPECIALIZAÇÃO EM FARMACOLOGIA HOSPITALAR</v>
          </cell>
          <cell r="G304" t="str">
            <v>Saúde</v>
          </cell>
          <cell r="H304">
            <v>6</v>
          </cell>
          <cell r="I304">
            <v>13</v>
          </cell>
          <cell r="J304">
            <v>439.79280900000003</v>
          </cell>
          <cell r="K304">
            <v>5717.3065170000009</v>
          </cell>
          <cell r="L304">
            <v>0.45</v>
          </cell>
          <cell r="M304">
            <v>217.7</v>
          </cell>
          <cell r="N304">
            <v>2830.1</v>
          </cell>
          <cell r="O304">
            <v>0.50499418011175357</v>
          </cell>
          <cell r="P304">
            <v>0.5</v>
          </cell>
          <cell r="Q304">
            <v>197.91</v>
          </cell>
        </row>
        <row r="305">
          <cell r="F305" t="str">
            <v>ESPECIALIZAÇÃO EM FILOSOFIA NA EDUCAÇÃO COM ÊNFASE NO PROCESSO DE FORMAÇÃO ÉTNICO - RACIAL</v>
          </cell>
          <cell r="G305" t="str">
            <v>Humanas</v>
          </cell>
          <cell r="H305">
            <v>12</v>
          </cell>
          <cell r="I305">
            <v>19</v>
          </cell>
          <cell r="J305">
            <v>207.609666</v>
          </cell>
          <cell r="K305">
            <v>3944.583654</v>
          </cell>
          <cell r="L305">
            <v>0.45</v>
          </cell>
          <cell r="M305">
            <v>102.77</v>
          </cell>
          <cell r="N305">
            <v>1952.6299999999999</v>
          </cell>
          <cell r="O305">
            <v>0.50498451261898381</v>
          </cell>
          <cell r="P305">
            <v>0.5</v>
          </cell>
          <cell r="Q305">
            <v>93.42</v>
          </cell>
        </row>
        <row r="306">
          <cell r="F306" t="str">
            <v>ESPECIALIZAÇÃO EM FINANÇAS CORPORATIVAS</v>
          </cell>
          <cell r="G306" t="str">
            <v>Humanas</v>
          </cell>
          <cell r="H306">
            <v>12</v>
          </cell>
          <cell r="I306">
            <v>19</v>
          </cell>
          <cell r="J306">
            <v>207.609666</v>
          </cell>
          <cell r="K306">
            <v>3944.583654</v>
          </cell>
          <cell r="L306">
            <v>0.45</v>
          </cell>
          <cell r="M306">
            <v>102.77</v>
          </cell>
          <cell r="N306">
            <v>1952.6299999999999</v>
          </cell>
          <cell r="O306">
            <v>0.50498451261898381</v>
          </cell>
          <cell r="P306">
            <v>0.5</v>
          </cell>
          <cell r="Q306">
            <v>93.42</v>
          </cell>
        </row>
        <row r="307">
          <cell r="F307" t="str">
            <v>ESPECIALIZAÇÃO EM FINANÇAS PARA EMPRESAS</v>
          </cell>
          <cell r="G307" t="str">
            <v>Humanas</v>
          </cell>
          <cell r="H307">
            <v>6</v>
          </cell>
          <cell r="I307">
            <v>13</v>
          </cell>
          <cell r="J307">
            <v>303.42628200000001</v>
          </cell>
          <cell r="K307">
            <v>3944.5416660000001</v>
          </cell>
          <cell r="L307">
            <v>0.45</v>
          </cell>
          <cell r="M307">
            <v>150.19999999999999</v>
          </cell>
          <cell r="N307">
            <v>1952.6</v>
          </cell>
          <cell r="O307">
            <v>0.50498684883203371</v>
          </cell>
          <cell r="P307">
            <v>0.5</v>
          </cell>
          <cell r="Q307">
            <v>136.54</v>
          </cell>
        </row>
        <row r="308">
          <cell r="F308" t="str">
            <v>ESPECIALIZAÇÃO EM FISIOTERAPIA EM GERIATRIA E GERONTOLOGIA</v>
          </cell>
          <cell r="G308" t="str">
            <v>Saúde</v>
          </cell>
          <cell r="H308">
            <v>12</v>
          </cell>
          <cell r="I308">
            <v>19</v>
          </cell>
          <cell r="J308">
            <v>300.91749900000002</v>
          </cell>
          <cell r="K308">
            <v>5717.4324810000007</v>
          </cell>
          <cell r="L308">
            <v>0.45</v>
          </cell>
          <cell r="M308">
            <v>148.94999999999999</v>
          </cell>
          <cell r="N308">
            <v>2830.0499999999997</v>
          </cell>
          <cell r="O308">
            <v>0.50501383105008468</v>
          </cell>
          <cell r="P308">
            <v>0.5</v>
          </cell>
          <cell r="Q308">
            <v>135.41</v>
          </cell>
        </row>
        <row r="309">
          <cell r="F309" t="str">
            <v>ESPECIALIZAÇÃO EM FISIOTERAPIA EM GERONTOLOGIA E GERIATRIA</v>
          </cell>
          <cell r="G309" t="str">
            <v>Saúde</v>
          </cell>
          <cell r="H309">
            <v>6</v>
          </cell>
          <cell r="I309">
            <v>13</v>
          </cell>
          <cell r="J309">
            <v>439.79280900000003</v>
          </cell>
          <cell r="K309">
            <v>5717.3065170000009</v>
          </cell>
          <cell r="L309">
            <v>0.45</v>
          </cell>
          <cell r="M309">
            <v>217.7</v>
          </cell>
          <cell r="N309">
            <v>2830.1</v>
          </cell>
          <cell r="O309">
            <v>0.50499418011175357</v>
          </cell>
          <cell r="P309">
            <v>0.5</v>
          </cell>
          <cell r="Q309">
            <v>197.91</v>
          </cell>
        </row>
        <row r="310">
          <cell r="F310" t="str">
            <v>ESPECIALIZAÇÃO EM FITOTERÁPICOS E SUPLEMENTAÇÃO NUTRICIONAL APLICADA AO ESPORTE</v>
          </cell>
          <cell r="G310" t="str">
            <v>Saúde</v>
          </cell>
          <cell r="H310">
            <v>6</v>
          </cell>
          <cell r="I310">
            <v>13</v>
          </cell>
          <cell r="J310">
            <v>439.79280900000003</v>
          </cell>
          <cell r="K310">
            <v>5717.3065170000009</v>
          </cell>
          <cell r="L310">
            <v>0.45</v>
          </cell>
          <cell r="M310">
            <v>217.7</v>
          </cell>
          <cell r="N310">
            <v>2830.1</v>
          </cell>
          <cell r="O310">
            <v>0.50499418011175357</v>
          </cell>
          <cell r="P310">
            <v>0.5</v>
          </cell>
          <cell r="Q310">
            <v>197.91</v>
          </cell>
        </row>
        <row r="311">
          <cell r="F311" t="str">
            <v>ESPECIALIZAÇÃO EM FUNDAMENTOS DA EDUCAÇÃO SOCIAL E ANTROPOLOGIA</v>
          </cell>
          <cell r="G311" t="str">
            <v>Humanas</v>
          </cell>
          <cell r="H311">
            <v>6</v>
          </cell>
          <cell r="I311">
            <v>13</v>
          </cell>
          <cell r="J311">
            <v>303.42628200000001</v>
          </cell>
          <cell r="K311">
            <v>3944.5416660000001</v>
          </cell>
          <cell r="L311">
            <v>0.45</v>
          </cell>
          <cell r="M311">
            <v>150.19999999999999</v>
          </cell>
          <cell r="N311">
            <v>1952.6</v>
          </cell>
          <cell r="O311">
            <v>0.50498684883203371</v>
          </cell>
          <cell r="P311">
            <v>0.5</v>
          </cell>
          <cell r="Q311">
            <v>136.54</v>
          </cell>
        </row>
        <row r="312">
          <cell r="F312" t="str">
            <v>ESPECIALIZAÇÃO EM GERENCIAMENTO DE PROJETOS DE ARQUITETURA</v>
          </cell>
          <cell r="G312" t="str">
            <v>Humanas</v>
          </cell>
          <cell r="H312">
            <v>6</v>
          </cell>
          <cell r="I312">
            <v>13</v>
          </cell>
          <cell r="J312">
            <v>303.42628200000001</v>
          </cell>
          <cell r="K312">
            <v>3944.5416660000001</v>
          </cell>
          <cell r="L312">
            <v>0.45</v>
          </cell>
          <cell r="M312">
            <v>150.19999999999999</v>
          </cell>
          <cell r="N312">
            <v>1952.6</v>
          </cell>
          <cell r="O312">
            <v>0.50498684883203371</v>
          </cell>
          <cell r="P312">
            <v>0.5</v>
          </cell>
          <cell r="Q312">
            <v>136.54</v>
          </cell>
        </row>
        <row r="313">
          <cell r="F313" t="str">
            <v>ESPECIALIZAÇÃO EM GERENCIAMENTO DE TI</v>
          </cell>
          <cell r="G313" t="str">
            <v>Negócios</v>
          </cell>
          <cell r="H313">
            <v>6</v>
          </cell>
          <cell r="I313">
            <v>13</v>
          </cell>
          <cell r="J313">
            <v>439.79280900000003</v>
          </cell>
          <cell r="K313">
            <v>5717.3065170000009</v>
          </cell>
          <cell r="L313">
            <v>0.45</v>
          </cell>
          <cell r="M313">
            <v>217.7</v>
          </cell>
          <cell r="N313">
            <v>2830.1</v>
          </cell>
          <cell r="O313">
            <v>0.50499418011175357</v>
          </cell>
          <cell r="P313">
            <v>0.5</v>
          </cell>
          <cell r="Q313">
            <v>197.91</v>
          </cell>
        </row>
        <row r="314">
          <cell r="F314" t="str">
            <v>ESPECIALIZAÇÃO EM GESTÃO CONTÁBIL</v>
          </cell>
          <cell r="G314" t="str">
            <v>Exatas</v>
          </cell>
          <cell r="H314">
            <v>12</v>
          </cell>
          <cell r="I314">
            <v>19</v>
          </cell>
          <cell r="J314">
            <v>207.609666</v>
          </cell>
          <cell r="K314">
            <v>3944.583654</v>
          </cell>
          <cell r="L314">
            <v>0.45</v>
          </cell>
          <cell r="M314">
            <v>102.77</v>
          </cell>
          <cell r="N314">
            <v>1952.6299999999999</v>
          </cell>
          <cell r="O314">
            <v>0.50498451261898381</v>
          </cell>
          <cell r="P314">
            <v>0.5</v>
          </cell>
          <cell r="Q314">
            <v>93.42</v>
          </cell>
        </row>
        <row r="315">
          <cell r="F315" t="str">
            <v>ESPECIALIZAÇÃO EM GESTÃO DA EDUCAÇÃO</v>
          </cell>
          <cell r="G315" t="str">
            <v>Humanas</v>
          </cell>
          <cell r="H315">
            <v>12</v>
          </cell>
          <cell r="I315">
            <v>19</v>
          </cell>
          <cell r="J315">
            <v>207.609666</v>
          </cell>
          <cell r="K315">
            <v>3944.583654</v>
          </cell>
          <cell r="L315">
            <v>0.45</v>
          </cell>
          <cell r="M315">
            <v>102.77</v>
          </cell>
          <cell r="N315">
            <v>1952.6299999999999</v>
          </cell>
          <cell r="O315">
            <v>0.50498451261898381</v>
          </cell>
          <cell r="P315">
            <v>0.5</v>
          </cell>
          <cell r="Q315">
            <v>93.42</v>
          </cell>
        </row>
        <row r="316">
          <cell r="F316" t="str">
            <v>ESPECIALIZAÇÃO EM GESTÃO DA QUALIDADE E AUDITORIA</v>
          </cell>
          <cell r="G316" t="str">
            <v>Humanas</v>
          </cell>
          <cell r="H316">
            <v>6</v>
          </cell>
          <cell r="I316">
            <v>13</v>
          </cell>
          <cell r="J316">
            <v>303.42628200000001</v>
          </cell>
          <cell r="K316">
            <v>3944.5416660000001</v>
          </cell>
          <cell r="L316">
            <v>0.45</v>
          </cell>
          <cell r="M316">
            <v>150.19999999999999</v>
          </cell>
          <cell r="N316">
            <v>1952.6</v>
          </cell>
          <cell r="O316">
            <v>0.50498684883203371</v>
          </cell>
          <cell r="P316">
            <v>0.5</v>
          </cell>
          <cell r="Q316">
            <v>136.54</v>
          </cell>
        </row>
        <row r="317">
          <cell r="F317" t="str">
            <v>ESPECIALIZAÇÃO EM GESTÃO DA QUALIDADE E SEGURANÇA ALIMENTAR</v>
          </cell>
          <cell r="G317" t="str">
            <v>Humanas</v>
          </cell>
          <cell r="H317">
            <v>6</v>
          </cell>
          <cell r="I317">
            <v>13</v>
          </cell>
          <cell r="J317">
            <v>303.42628200000001</v>
          </cell>
          <cell r="K317">
            <v>3944.5416660000001</v>
          </cell>
          <cell r="L317">
            <v>0.45</v>
          </cell>
          <cell r="M317">
            <v>150.19999999999999</v>
          </cell>
          <cell r="N317">
            <v>1952.6</v>
          </cell>
          <cell r="O317">
            <v>0.50498684883203371</v>
          </cell>
          <cell r="P317">
            <v>0.5</v>
          </cell>
          <cell r="Q317">
            <v>136.54</v>
          </cell>
        </row>
        <row r="318">
          <cell r="F318" t="str">
            <v>ESPECIALIZAÇÃO EM GESTÃO DA QUALIDADE E SEGURANÇA DOS ALIMENTOS</v>
          </cell>
          <cell r="G318" t="str">
            <v>Humanas</v>
          </cell>
          <cell r="H318">
            <v>12</v>
          </cell>
          <cell r="I318">
            <v>19</v>
          </cell>
          <cell r="J318">
            <v>207.609666</v>
          </cell>
          <cell r="K318">
            <v>3944.583654</v>
          </cell>
          <cell r="L318">
            <v>0.45</v>
          </cell>
          <cell r="M318">
            <v>102.77</v>
          </cell>
          <cell r="N318">
            <v>1952.6299999999999</v>
          </cell>
          <cell r="O318">
            <v>0.50498451261898381</v>
          </cell>
          <cell r="P318">
            <v>0.5</v>
          </cell>
          <cell r="Q318">
            <v>93.42</v>
          </cell>
        </row>
        <row r="319">
          <cell r="F319" t="str">
            <v>ESPECIALIZAÇÃO EM GESTÃO DA QUALIDADE EM PROCESSOS, PRODUTOS E SERVIÇOS</v>
          </cell>
          <cell r="G319" t="str">
            <v>Exatas</v>
          </cell>
          <cell r="H319">
            <v>12</v>
          </cell>
          <cell r="I319">
            <v>19</v>
          </cell>
          <cell r="J319">
            <v>207.609666</v>
          </cell>
          <cell r="K319">
            <v>3944.583654</v>
          </cell>
          <cell r="L319">
            <v>0.45</v>
          </cell>
          <cell r="M319">
            <v>102.77</v>
          </cell>
          <cell r="N319">
            <v>1952.6299999999999</v>
          </cell>
          <cell r="O319">
            <v>0.50498451261898381</v>
          </cell>
          <cell r="P319">
            <v>0.5</v>
          </cell>
          <cell r="Q319">
            <v>93.42</v>
          </cell>
        </row>
        <row r="320">
          <cell r="F320" t="str">
            <v>ESPECIALIZAÇÃO EM GESTÃO DA TECNOLOGIA DA INFORMAÇÃO</v>
          </cell>
          <cell r="G320" t="str">
            <v>Exatas</v>
          </cell>
          <cell r="H320">
            <v>12</v>
          </cell>
          <cell r="I320">
            <v>19</v>
          </cell>
          <cell r="J320">
            <v>300.91749900000002</v>
          </cell>
          <cell r="K320">
            <v>5717.4324810000007</v>
          </cell>
          <cell r="L320">
            <v>0.45</v>
          </cell>
          <cell r="M320">
            <v>148.94999999999999</v>
          </cell>
          <cell r="N320">
            <v>2830.0499999999997</v>
          </cell>
          <cell r="O320">
            <v>0.50501383105008468</v>
          </cell>
          <cell r="P320">
            <v>0.5</v>
          </cell>
          <cell r="Q320">
            <v>135.41</v>
          </cell>
        </row>
        <row r="321">
          <cell r="F321" t="str">
            <v>ESPECIALIZAÇÃO EM GESTÃO DE CONTRATOS PÚBLICOS</v>
          </cell>
          <cell r="G321" t="str">
            <v>Humanas</v>
          </cell>
          <cell r="H321">
            <v>12</v>
          </cell>
          <cell r="I321">
            <v>19</v>
          </cell>
          <cell r="J321">
            <v>207.609666</v>
          </cell>
          <cell r="K321">
            <v>3944.583654</v>
          </cell>
          <cell r="L321">
            <v>0.45</v>
          </cell>
          <cell r="M321">
            <v>102.77</v>
          </cell>
          <cell r="N321">
            <v>1952.6299999999999</v>
          </cell>
          <cell r="O321">
            <v>0.50498451261898381</v>
          </cell>
          <cell r="P321">
            <v>0.5</v>
          </cell>
          <cell r="Q321">
            <v>93.42</v>
          </cell>
        </row>
        <row r="322">
          <cell r="F322" t="str">
            <v>ESPECIALIZAÇÃO EM GESTÃO DE DEPARTAMENTO PESSOAL</v>
          </cell>
          <cell r="G322" t="str">
            <v>Exatas</v>
          </cell>
          <cell r="H322">
            <v>6</v>
          </cell>
          <cell r="I322">
            <v>13</v>
          </cell>
          <cell r="J322">
            <v>303.42628200000001</v>
          </cell>
          <cell r="K322">
            <v>3944.5416660000001</v>
          </cell>
          <cell r="L322">
            <v>0.45</v>
          </cell>
          <cell r="M322">
            <v>150.19999999999999</v>
          </cell>
          <cell r="N322">
            <v>1952.6</v>
          </cell>
          <cell r="O322">
            <v>0.50498684883203371</v>
          </cell>
          <cell r="P322">
            <v>0.5</v>
          </cell>
          <cell r="Q322">
            <v>136.54</v>
          </cell>
        </row>
        <row r="323">
          <cell r="F323" t="str">
            <v>ESPECIALIZAÇÃO EM GESTÃO DE PROJETOS COM ÊNFASE NA ARQUITETURA</v>
          </cell>
          <cell r="G323" t="str">
            <v>Humanas</v>
          </cell>
          <cell r="H323">
            <v>12</v>
          </cell>
          <cell r="I323">
            <v>19</v>
          </cell>
          <cell r="J323">
            <v>207.609666</v>
          </cell>
          <cell r="K323">
            <v>3944.583654</v>
          </cell>
          <cell r="L323">
            <v>0.45</v>
          </cell>
          <cell r="M323">
            <v>102.77</v>
          </cell>
          <cell r="N323">
            <v>1952.6299999999999</v>
          </cell>
          <cell r="O323">
            <v>0.50498451261898381</v>
          </cell>
          <cell r="P323">
            <v>0.5</v>
          </cell>
          <cell r="Q323">
            <v>93.42</v>
          </cell>
        </row>
        <row r="324">
          <cell r="F324" t="str">
            <v>ESPECIALIZAÇÃO EM GESTÃO E DIREITO APLICADO AOS SERVIÇOS DE SAÚDE PÚBLICA</v>
          </cell>
          <cell r="G324" t="str">
            <v>Humanas</v>
          </cell>
          <cell r="H324">
            <v>12</v>
          </cell>
          <cell r="I324">
            <v>19</v>
          </cell>
          <cell r="J324">
            <v>207.609666</v>
          </cell>
          <cell r="K324">
            <v>3944.583654</v>
          </cell>
          <cell r="L324">
            <v>0.45</v>
          </cell>
          <cell r="M324">
            <v>102.77</v>
          </cell>
          <cell r="N324">
            <v>1952.6299999999999</v>
          </cell>
          <cell r="O324">
            <v>0.50498451261898381</v>
          </cell>
          <cell r="P324">
            <v>0.5</v>
          </cell>
          <cell r="Q324">
            <v>93.42</v>
          </cell>
        </row>
        <row r="325">
          <cell r="F325" t="str">
            <v>ESPECIALIZAÇÃO EM GESTÃO E DIREITO DE SERVIÇOS DE SAÚDE PÚBLICA</v>
          </cell>
          <cell r="G325" t="str">
            <v>Humanas</v>
          </cell>
          <cell r="H325">
            <v>6</v>
          </cell>
          <cell r="I325">
            <v>13</v>
          </cell>
          <cell r="J325">
            <v>303.42628200000001</v>
          </cell>
          <cell r="K325">
            <v>3944.5416660000001</v>
          </cell>
          <cell r="L325">
            <v>0.45</v>
          </cell>
          <cell r="M325">
            <v>150.19999999999999</v>
          </cell>
          <cell r="N325">
            <v>1952.6</v>
          </cell>
          <cell r="O325">
            <v>0.50498684883203371</v>
          </cell>
          <cell r="P325">
            <v>0.5</v>
          </cell>
          <cell r="Q325">
            <v>136.54</v>
          </cell>
        </row>
        <row r="326">
          <cell r="F326" t="str">
            <v>ESPECIALIZAÇÃO EM GESTÃO EDUCACIONAL</v>
          </cell>
          <cell r="G326" t="str">
            <v>Humanas</v>
          </cell>
          <cell r="H326">
            <v>6</v>
          </cell>
          <cell r="I326">
            <v>13</v>
          </cell>
          <cell r="J326">
            <v>303.42628200000001</v>
          </cell>
          <cell r="K326">
            <v>3944.5416660000001</v>
          </cell>
          <cell r="L326">
            <v>0.45</v>
          </cell>
          <cell r="M326">
            <v>150.19999999999999</v>
          </cell>
          <cell r="N326">
            <v>1952.6</v>
          </cell>
          <cell r="O326">
            <v>0.50498684883203371</v>
          </cell>
          <cell r="P326">
            <v>0.5</v>
          </cell>
          <cell r="Q326">
            <v>136.54</v>
          </cell>
        </row>
        <row r="327">
          <cell r="F327" t="str">
            <v>ESPECIALIZAÇÃO EM GESTÃO EM ENGENHARIA DE PRODUÇÃO</v>
          </cell>
          <cell r="G327" t="str">
            <v>Exatas</v>
          </cell>
          <cell r="H327">
            <v>6</v>
          </cell>
          <cell r="I327">
            <v>13</v>
          </cell>
          <cell r="J327">
            <v>303.42628200000001</v>
          </cell>
          <cell r="K327">
            <v>3944.5416660000001</v>
          </cell>
          <cell r="L327">
            <v>0.45</v>
          </cell>
          <cell r="M327">
            <v>150.19999999999999</v>
          </cell>
          <cell r="N327">
            <v>1952.6</v>
          </cell>
          <cell r="O327">
            <v>0.50498684883203371</v>
          </cell>
          <cell r="P327">
            <v>0.5</v>
          </cell>
          <cell r="Q327">
            <v>136.54</v>
          </cell>
        </row>
        <row r="328">
          <cell r="F328" t="str">
            <v>ESPECIALIZAÇÃO EM GESTÃO EM PROCESSOS GERENCIAIS</v>
          </cell>
          <cell r="G328" t="str">
            <v>Negócios</v>
          </cell>
          <cell r="H328">
            <v>12</v>
          </cell>
          <cell r="I328">
            <v>19</v>
          </cell>
          <cell r="J328">
            <v>207.609666</v>
          </cell>
          <cell r="K328">
            <v>3944.583654</v>
          </cell>
          <cell r="L328">
            <v>0.45</v>
          </cell>
          <cell r="M328">
            <v>102.77</v>
          </cell>
          <cell r="N328">
            <v>1952.6299999999999</v>
          </cell>
          <cell r="O328">
            <v>0.50498451261898381</v>
          </cell>
          <cell r="P328">
            <v>0.5</v>
          </cell>
          <cell r="Q328">
            <v>93.42</v>
          </cell>
        </row>
        <row r="329">
          <cell r="F329" t="str">
            <v>ESPECIALIZAÇÃO EM GESTÃO EM SAÚDE PÚBLICA</v>
          </cell>
          <cell r="G329" t="str">
            <v>Saúde</v>
          </cell>
          <cell r="H329">
            <v>12</v>
          </cell>
          <cell r="I329">
            <v>19</v>
          </cell>
          <cell r="J329">
            <v>300.91749900000002</v>
          </cell>
          <cell r="K329">
            <v>5717.4324810000007</v>
          </cell>
          <cell r="L329">
            <v>0.45</v>
          </cell>
          <cell r="M329">
            <v>148.94999999999999</v>
          </cell>
          <cell r="N329">
            <v>2830.0499999999997</v>
          </cell>
          <cell r="O329">
            <v>0.50501383105008468</v>
          </cell>
          <cell r="P329">
            <v>0.5</v>
          </cell>
          <cell r="Q329">
            <v>135.41</v>
          </cell>
        </row>
        <row r="330">
          <cell r="F330" t="str">
            <v>ESPECIALIZAÇÃO EM GESTÃO ESCOLAR</v>
          </cell>
          <cell r="G330" t="str">
            <v>Humanas</v>
          </cell>
          <cell r="H330">
            <v>12</v>
          </cell>
          <cell r="I330">
            <v>19</v>
          </cell>
          <cell r="J330">
            <v>207.609666</v>
          </cell>
          <cell r="K330">
            <v>3944.583654</v>
          </cell>
          <cell r="L330">
            <v>0.45</v>
          </cell>
          <cell r="M330">
            <v>102.77</v>
          </cell>
          <cell r="N330">
            <v>1952.6299999999999</v>
          </cell>
          <cell r="O330">
            <v>0.50498451261898381</v>
          </cell>
          <cell r="P330">
            <v>0.5</v>
          </cell>
          <cell r="Q330">
            <v>93.42</v>
          </cell>
        </row>
        <row r="331">
          <cell r="F331" t="str">
            <v>ESPECIALIZAÇÃO EM GESTÃO PEDAGÓGICA NO ENSINO SUPERIOR</v>
          </cell>
          <cell r="G331" t="str">
            <v>Humanas</v>
          </cell>
          <cell r="H331">
            <v>6</v>
          </cell>
          <cell r="I331">
            <v>13</v>
          </cell>
          <cell r="J331">
            <v>303.42628200000001</v>
          </cell>
          <cell r="K331">
            <v>3944.5416660000001</v>
          </cell>
          <cell r="L331">
            <v>0.45</v>
          </cell>
          <cell r="M331">
            <v>150.19999999999999</v>
          </cell>
          <cell r="N331">
            <v>1952.6</v>
          </cell>
          <cell r="O331">
            <v>0.50498684883203371</v>
          </cell>
          <cell r="P331">
            <v>0.5</v>
          </cell>
          <cell r="Q331">
            <v>136.54</v>
          </cell>
        </row>
        <row r="332">
          <cell r="F332" t="str">
            <v>ESPECIALIZAÇÃO EM INFLUENCIADOR DIGITAL</v>
          </cell>
          <cell r="G332" t="str">
            <v>Humanas</v>
          </cell>
          <cell r="H332">
            <v>6</v>
          </cell>
          <cell r="I332">
            <v>13</v>
          </cell>
          <cell r="J332">
            <v>303.42628200000001</v>
          </cell>
          <cell r="K332">
            <v>3944.5416660000001</v>
          </cell>
          <cell r="L332">
            <v>0.45</v>
          </cell>
          <cell r="M332">
            <v>150.19999999999999</v>
          </cell>
          <cell r="N332">
            <v>1952.6</v>
          </cell>
          <cell r="O332">
            <v>0.50498684883203371</v>
          </cell>
          <cell r="P332">
            <v>0.5</v>
          </cell>
          <cell r="Q332">
            <v>136.54</v>
          </cell>
        </row>
        <row r="333">
          <cell r="F333" t="str">
            <v>ESPECIALIZAÇÃO EM INOVAÇÃO DE MÍDIAS DIGITAIS</v>
          </cell>
          <cell r="G333" t="str">
            <v>Humanas</v>
          </cell>
          <cell r="H333">
            <v>6</v>
          </cell>
          <cell r="I333">
            <v>13</v>
          </cell>
          <cell r="J333">
            <v>303.42628200000001</v>
          </cell>
          <cell r="K333">
            <v>3944.5416660000001</v>
          </cell>
          <cell r="L333">
            <v>0.45</v>
          </cell>
          <cell r="M333">
            <v>150.19999999999999</v>
          </cell>
          <cell r="N333">
            <v>1952.6</v>
          </cell>
          <cell r="O333">
            <v>0.50498684883203371</v>
          </cell>
          <cell r="P333">
            <v>0.5</v>
          </cell>
          <cell r="Q333">
            <v>136.54</v>
          </cell>
        </row>
        <row r="334">
          <cell r="F334" t="str">
            <v>ESPECIALIZAÇÃO EM INOVAÇÃO E TRANSFORMAÇÃO DIGITAL</v>
          </cell>
          <cell r="G334" t="str">
            <v>Exatas</v>
          </cell>
          <cell r="H334">
            <v>12</v>
          </cell>
          <cell r="I334">
            <v>19</v>
          </cell>
          <cell r="J334">
            <v>207.609666</v>
          </cell>
          <cell r="K334">
            <v>3944.583654</v>
          </cell>
          <cell r="L334">
            <v>0.45</v>
          </cell>
          <cell r="M334">
            <v>102.77</v>
          </cell>
          <cell r="N334">
            <v>1952.6299999999999</v>
          </cell>
          <cell r="O334">
            <v>0.50498451261898381</v>
          </cell>
          <cell r="P334">
            <v>0.5</v>
          </cell>
          <cell r="Q334">
            <v>93.42</v>
          </cell>
        </row>
        <row r="335">
          <cell r="F335" t="str">
            <v>ESPECIALIZAÇÃO EM INTELIGÊNCIA ARTIFICIAL APLICADA AO NEGÓCIO</v>
          </cell>
          <cell r="G335" t="str">
            <v>Exatas</v>
          </cell>
          <cell r="H335">
            <v>6</v>
          </cell>
          <cell r="I335">
            <v>13</v>
          </cell>
          <cell r="J335">
            <v>439.79280900000003</v>
          </cell>
          <cell r="K335">
            <v>5717.3065170000009</v>
          </cell>
          <cell r="L335">
            <v>0.45</v>
          </cell>
          <cell r="M335">
            <v>217.7</v>
          </cell>
          <cell r="N335">
            <v>2830.1</v>
          </cell>
          <cell r="O335">
            <v>0.50499418011175357</v>
          </cell>
          <cell r="P335">
            <v>0.5</v>
          </cell>
          <cell r="Q335">
            <v>197.91</v>
          </cell>
        </row>
        <row r="336">
          <cell r="F336" t="str">
            <v>ESPECIALIZAÇÃO EM INTELIGÊNCIA E SEGURANÇA PÚBLICA</v>
          </cell>
          <cell r="G336" t="str">
            <v>Humanas</v>
          </cell>
          <cell r="H336">
            <v>6</v>
          </cell>
          <cell r="I336">
            <v>13</v>
          </cell>
          <cell r="J336">
            <v>303.42628200000001</v>
          </cell>
          <cell r="K336">
            <v>3944.5416660000001</v>
          </cell>
          <cell r="L336">
            <v>0.45</v>
          </cell>
          <cell r="M336">
            <v>150.19999999999999</v>
          </cell>
          <cell r="N336">
            <v>1952.6</v>
          </cell>
          <cell r="O336">
            <v>0.50498684883203371</v>
          </cell>
          <cell r="P336">
            <v>0.5</v>
          </cell>
          <cell r="Q336">
            <v>136.54</v>
          </cell>
        </row>
        <row r="337">
          <cell r="F337" t="str">
            <v>ESPECIALIZAÇÃO EM INTERNET DAS COISAS (IOT): CONEXÃO ENTRE DISPOSITIVOS, MÁQUINAS E PESSOAS</v>
          </cell>
          <cell r="G337" t="str">
            <v>Exatas</v>
          </cell>
          <cell r="H337">
            <v>6</v>
          </cell>
          <cell r="I337">
            <v>13</v>
          </cell>
          <cell r="J337">
            <v>439.79280900000003</v>
          </cell>
          <cell r="K337">
            <v>5717.3065170000009</v>
          </cell>
          <cell r="L337">
            <v>0.45</v>
          </cell>
          <cell r="M337">
            <v>217.7</v>
          </cell>
          <cell r="N337">
            <v>2830.1</v>
          </cell>
          <cell r="O337">
            <v>0.50499418011175357</v>
          </cell>
          <cell r="P337">
            <v>0.5</v>
          </cell>
          <cell r="Q337">
            <v>197.91</v>
          </cell>
        </row>
        <row r="338">
          <cell r="F338" t="str">
            <v>ESPECIALIZAÇÃO EM IoT: INTERAÇÃO ENTRE DISPOSITIVOS, MÁQUINAS E PESSOAS</v>
          </cell>
          <cell r="G338" t="str">
            <v>Negócios</v>
          </cell>
          <cell r="H338">
            <v>12</v>
          </cell>
          <cell r="I338">
            <v>19</v>
          </cell>
          <cell r="J338">
            <v>300.91749900000002</v>
          </cell>
          <cell r="K338">
            <v>5717.4324810000007</v>
          </cell>
          <cell r="L338">
            <v>0.45</v>
          </cell>
          <cell r="M338">
            <v>148.94999999999999</v>
          </cell>
          <cell r="N338">
            <v>2830.0499999999997</v>
          </cell>
          <cell r="O338">
            <v>0.50501383105008468</v>
          </cell>
          <cell r="P338">
            <v>0.5</v>
          </cell>
          <cell r="Q338">
            <v>135.41</v>
          </cell>
        </row>
        <row r="339">
          <cell r="F339" t="str">
            <v>ESPECIALIZAÇÃO EM LEGISLAÇÃO ELEITORAL</v>
          </cell>
          <cell r="G339" t="str">
            <v>Humanas</v>
          </cell>
          <cell r="H339">
            <v>6</v>
          </cell>
          <cell r="I339">
            <v>13</v>
          </cell>
          <cell r="J339">
            <v>439.79280900000003</v>
          </cell>
          <cell r="K339">
            <v>5717.3065170000009</v>
          </cell>
          <cell r="L339">
            <v>0.45</v>
          </cell>
          <cell r="M339">
            <v>217.7</v>
          </cell>
          <cell r="N339">
            <v>2830.1</v>
          </cell>
          <cell r="O339">
            <v>0.50499418011175357</v>
          </cell>
          <cell r="P339">
            <v>0.5</v>
          </cell>
          <cell r="Q339">
            <v>197.91</v>
          </cell>
        </row>
        <row r="340">
          <cell r="F340" t="str">
            <v>ESPECIALIZAÇÃO EM LÍNGUA PORTUGUESA - REDAÇÃO</v>
          </cell>
          <cell r="G340" t="str">
            <v>Humanas</v>
          </cell>
          <cell r="H340">
            <v>6</v>
          </cell>
          <cell r="I340">
            <v>13</v>
          </cell>
          <cell r="J340">
            <v>303.42628200000001</v>
          </cell>
          <cell r="K340">
            <v>3944.5416660000001</v>
          </cell>
          <cell r="L340">
            <v>0.45</v>
          </cell>
          <cell r="M340">
            <v>150.19999999999999</v>
          </cell>
          <cell r="N340">
            <v>1952.6</v>
          </cell>
          <cell r="O340">
            <v>0.50498684883203371</v>
          </cell>
          <cell r="P340">
            <v>0.5</v>
          </cell>
          <cell r="Q340">
            <v>136.54</v>
          </cell>
        </row>
        <row r="341">
          <cell r="F341" t="str">
            <v>ESPECIALIZAÇÃO EM LÍNGUA PORTUGUESA: REDAÇÃO E ORATÓRIA</v>
          </cell>
          <cell r="G341" t="str">
            <v>Humanas</v>
          </cell>
          <cell r="H341">
            <v>12</v>
          </cell>
          <cell r="I341">
            <v>19</v>
          </cell>
          <cell r="J341">
            <v>207.609666</v>
          </cell>
          <cell r="K341">
            <v>3944.583654</v>
          </cell>
          <cell r="L341">
            <v>0.45</v>
          </cell>
          <cell r="M341">
            <v>102.77</v>
          </cell>
          <cell r="N341">
            <v>1952.6299999999999</v>
          </cell>
          <cell r="O341">
            <v>0.50498451261898381</v>
          </cell>
          <cell r="P341">
            <v>0.5</v>
          </cell>
          <cell r="Q341">
            <v>93.42</v>
          </cell>
        </row>
        <row r="342">
          <cell r="F342" t="str">
            <v>ESPECIALIZAÇÃO EM LUDICIDADE APLICADA EM EDUCAÇÃO</v>
          </cell>
          <cell r="G342" t="str">
            <v>Humanas</v>
          </cell>
          <cell r="H342">
            <v>6</v>
          </cell>
          <cell r="I342">
            <v>13</v>
          </cell>
          <cell r="J342">
            <v>303.42628200000001</v>
          </cell>
          <cell r="K342">
            <v>3944.5416660000001</v>
          </cell>
          <cell r="L342">
            <v>0.45</v>
          </cell>
          <cell r="M342">
            <v>150.19999999999999</v>
          </cell>
          <cell r="N342">
            <v>1952.6</v>
          </cell>
          <cell r="O342">
            <v>0.50498684883203371</v>
          </cell>
          <cell r="P342">
            <v>0.5</v>
          </cell>
          <cell r="Q342">
            <v>136.54</v>
          </cell>
        </row>
        <row r="343">
          <cell r="F343" t="str">
            <v>ESPECIALIZAÇÃO EM MARKETING</v>
          </cell>
          <cell r="G343" t="str">
            <v>Humanas</v>
          </cell>
          <cell r="H343">
            <v>6</v>
          </cell>
          <cell r="I343">
            <v>13</v>
          </cell>
          <cell r="J343">
            <v>303.42628200000001</v>
          </cell>
          <cell r="K343">
            <v>3944.5416660000001</v>
          </cell>
          <cell r="L343">
            <v>0.45</v>
          </cell>
          <cell r="M343">
            <v>150.19999999999999</v>
          </cell>
          <cell r="N343">
            <v>1952.6</v>
          </cell>
          <cell r="O343">
            <v>0.50498684883203371</v>
          </cell>
          <cell r="P343">
            <v>0.5</v>
          </cell>
          <cell r="Q343">
            <v>136.54</v>
          </cell>
        </row>
        <row r="344">
          <cell r="F344" t="str">
            <v>ESPECIALIZAÇÃO EM MARKETING DIGITAL E MÍDIAS SOCIAIS</v>
          </cell>
          <cell r="G344" t="str">
            <v>Humanas</v>
          </cell>
          <cell r="H344">
            <v>6</v>
          </cell>
          <cell r="I344">
            <v>13</v>
          </cell>
          <cell r="J344">
            <v>303.42628200000001</v>
          </cell>
          <cell r="K344">
            <v>3944.5416660000001</v>
          </cell>
          <cell r="L344">
            <v>0.45</v>
          </cell>
          <cell r="M344">
            <v>150.19999999999999</v>
          </cell>
          <cell r="N344">
            <v>1952.6</v>
          </cell>
          <cell r="O344">
            <v>0.50498684883203371</v>
          </cell>
          <cell r="P344">
            <v>0.5</v>
          </cell>
          <cell r="Q344">
            <v>136.54</v>
          </cell>
        </row>
        <row r="345">
          <cell r="F345" t="str">
            <v>ESPECIALIZAÇÃO EM MARKETING E MÍDIAS SOCIAIS</v>
          </cell>
          <cell r="G345" t="str">
            <v>Humanas</v>
          </cell>
          <cell r="H345">
            <v>12</v>
          </cell>
          <cell r="I345">
            <v>19</v>
          </cell>
          <cell r="J345">
            <v>207.609666</v>
          </cell>
          <cell r="K345">
            <v>3944.583654</v>
          </cell>
          <cell r="L345">
            <v>0.45</v>
          </cell>
          <cell r="M345">
            <v>102.77</v>
          </cell>
          <cell r="N345">
            <v>1952.6299999999999</v>
          </cell>
          <cell r="O345">
            <v>0.50498451261898381</v>
          </cell>
          <cell r="P345">
            <v>0.5</v>
          </cell>
          <cell r="Q345">
            <v>93.42</v>
          </cell>
        </row>
        <row r="346">
          <cell r="F346" t="str">
            <v>ESPECIALIZAÇÃO EM MARKETING E PUBLICIDADE</v>
          </cell>
          <cell r="G346" t="str">
            <v>Humanas</v>
          </cell>
          <cell r="H346">
            <v>12</v>
          </cell>
          <cell r="I346">
            <v>19</v>
          </cell>
          <cell r="J346">
            <v>207.609666</v>
          </cell>
          <cell r="K346">
            <v>3944.583654</v>
          </cell>
          <cell r="L346">
            <v>0.45</v>
          </cell>
          <cell r="M346">
            <v>102.77</v>
          </cell>
          <cell r="N346">
            <v>1952.6299999999999</v>
          </cell>
          <cell r="O346">
            <v>0.50498451261898381</v>
          </cell>
          <cell r="P346">
            <v>0.5</v>
          </cell>
          <cell r="Q346">
            <v>93.42</v>
          </cell>
        </row>
        <row r="347">
          <cell r="F347" t="str">
            <v>ESPECIALIZAÇÃO EM MEDIAÇÃO E GESTÃO DE CONFLITOS ESCOLAR</v>
          </cell>
          <cell r="G347" t="str">
            <v>Humanas</v>
          </cell>
          <cell r="H347">
            <v>12</v>
          </cell>
          <cell r="I347">
            <v>19</v>
          </cell>
          <cell r="J347">
            <v>207.609666</v>
          </cell>
          <cell r="K347">
            <v>3944.583654</v>
          </cell>
          <cell r="L347">
            <v>0.45</v>
          </cell>
          <cell r="M347">
            <v>102.77</v>
          </cell>
          <cell r="N347">
            <v>1952.6299999999999</v>
          </cell>
          <cell r="O347">
            <v>0.50498451261898381</v>
          </cell>
          <cell r="P347">
            <v>0.5</v>
          </cell>
          <cell r="Q347">
            <v>93.42</v>
          </cell>
        </row>
        <row r="348">
          <cell r="F348" t="str">
            <v>ESPECIALIZAÇÃO EM MENTORIA EM EDUCAÇÃO FINANCEIRA</v>
          </cell>
          <cell r="G348" t="str">
            <v>Humanas</v>
          </cell>
          <cell r="H348">
            <v>6</v>
          </cell>
          <cell r="I348">
            <v>13</v>
          </cell>
          <cell r="J348">
            <v>303.42628200000001</v>
          </cell>
          <cell r="K348">
            <v>3944.5416660000001</v>
          </cell>
          <cell r="L348">
            <v>0.45</v>
          </cell>
          <cell r="M348">
            <v>150.19999999999999</v>
          </cell>
          <cell r="N348">
            <v>1952.6</v>
          </cell>
          <cell r="O348">
            <v>0.50498684883203371</v>
          </cell>
          <cell r="P348">
            <v>0.5</v>
          </cell>
          <cell r="Q348">
            <v>136.54</v>
          </cell>
        </row>
        <row r="349">
          <cell r="F349" t="str">
            <v>ESPECIALIZAÇÃO EM METODOLOGIA DO ENS. A DISTÂNCIA</v>
          </cell>
          <cell r="G349" t="str">
            <v>Humanas</v>
          </cell>
          <cell r="H349">
            <v>12</v>
          </cell>
          <cell r="I349">
            <v>19</v>
          </cell>
          <cell r="J349">
            <v>207.609666</v>
          </cell>
          <cell r="K349">
            <v>3944.583654</v>
          </cell>
          <cell r="L349">
            <v>0.45</v>
          </cell>
          <cell r="M349">
            <v>102.77</v>
          </cell>
          <cell r="N349">
            <v>1952.6299999999999</v>
          </cell>
          <cell r="O349">
            <v>0.50498451261898381</v>
          </cell>
          <cell r="P349">
            <v>0.5</v>
          </cell>
          <cell r="Q349">
            <v>93.42</v>
          </cell>
        </row>
        <row r="350">
          <cell r="F350" t="str">
            <v>ESPECIALIZAÇÃO EM METODOLOGIA DO ENSINO DA LÍNGUA PORTUGUESA</v>
          </cell>
          <cell r="G350" t="str">
            <v>Humanas</v>
          </cell>
          <cell r="H350">
            <v>6</v>
          </cell>
          <cell r="I350">
            <v>13</v>
          </cell>
          <cell r="J350">
            <v>303.42628200000001</v>
          </cell>
          <cell r="K350">
            <v>3944.5416660000001</v>
          </cell>
          <cell r="L350">
            <v>0.45</v>
          </cell>
          <cell r="M350">
            <v>150.19999999999999</v>
          </cell>
          <cell r="N350">
            <v>1952.6</v>
          </cell>
          <cell r="O350">
            <v>0.50498684883203371</v>
          </cell>
          <cell r="P350">
            <v>0.5</v>
          </cell>
          <cell r="Q350">
            <v>136.54</v>
          </cell>
        </row>
        <row r="351">
          <cell r="F351" t="str">
            <v>ESPECIALIZAÇÃO EM METODOLOGIA E DIDÁTICA DO ENSINO DA GEOGRAFIA</v>
          </cell>
          <cell r="G351" t="str">
            <v>Humanas</v>
          </cell>
          <cell r="H351">
            <v>6</v>
          </cell>
          <cell r="I351">
            <v>13</v>
          </cell>
          <cell r="J351">
            <v>303.42628200000001</v>
          </cell>
          <cell r="K351">
            <v>3944.5416660000001</v>
          </cell>
          <cell r="L351">
            <v>0.45</v>
          </cell>
          <cell r="M351">
            <v>150.19999999999999</v>
          </cell>
          <cell r="N351">
            <v>1952.6</v>
          </cell>
          <cell r="O351">
            <v>0.50498684883203371</v>
          </cell>
          <cell r="P351">
            <v>0.5</v>
          </cell>
          <cell r="Q351">
            <v>136.54</v>
          </cell>
        </row>
        <row r="352">
          <cell r="F352" t="str">
            <v>ESPECIALIZAÇÃO EM METODOLOGIAS ATIVAS</v>
          </cell>
          <cell r="G352" t="str">
            <v>Humanas</v>
          </cell>
          <cell r="H352">
            <v>12</v>
          </cell>
          <cell r="I352">
            <v>19</v>
          </cell>
          <cell r="J352">
            <v>207.609666</v>
          </cell>
          <cell r="K352">
            <v>3944.583654</v>
          </cell>
          <cell r="L352">
            <v>0.45</v>
          </cell>
          <cell r="M352">
            <v>102.77</v>
          </cell>
          <cell r="N352">
            <v>1952.6299999999999</v>
          </cell>
          <cell r="O352">
            <v>0.50498451261898381</v>
          </cell>
          <cell r="P352">
            <v>0.5</v>
          </cell>
          <cell r="Q352">
            <v>93.42</v>
          </cell>
        </row>
        <row r="353">
          <cell r="F353" t="str">
            <v>ESPECIALIZAÇÃO EM METODOLOGIAS ATIVAS COMO PRÁTICAS INOVADORAS NA EDUCAÇÃO</v>
          </cell>
          <cell r="G353" t="str">
            <v>Humanas</v>
          </cell>
          <cell r="H353">
            <v>6</v>
          </cell>
          <cell r="I353">
            <v>13</v>
          </cell>
          <cell r="J353">
            <v>303.42628200000001</v>
          </cell>
          <cell r="K353">
            <v>3944.5416660000001</v>
          </cell>
          <cell r="L353">
            <v>0.45</v>
          </cell>
          <cell r="M353">
            <v>150.19999999999999</v>
          </cell>
          <cell r="N353">
            <v>1952.6</v>
          </cell>
          <cell r="O353">
            <v>0.50498684883203371</v>
          </cell>
          <cell r="P353">
            <v>0.5</v>
          </cell>
          <cell r="Q353">
            <v>136.54</v>
          </cell>
        </row>
        <row r="354">
          <cell r="F354" t="str">
            <v>ESPECIALIZAÇÃO EM METODOLOGIAS DA EDUCAÇÃO A DISTÂNCIA</v>
          </cell>
          <cell r="G354" t="str">
            <v>Humanas</v>
          </cell>
          <cell r="H354">
            <v>6</v>
          </cell>
          <cell r="I354">
            <v>13</v>
          </cell>
          <cell r="J354">
            <v>303.42628200000001</v>
          </cell>
          <cell r="K354">
            <v>3944.5416660000001</v>
          </cell>
          <cell r="L354">
            <v>0.45</v>
          </cell>
          <cell r="M354">
            <v>150.19999999999999</v>
          </cell>
          <cell r="N354">
            <v>1952.6</v>
          </cell>
          <cell r="O354">
            <v>0.50498684883203371</v>
          </cell>
          <cell r="P354">
            <v>0.5</v>
          </cell>
          <cell r="Q354">
            <v>136.54</v>
          </cell>
        </row>
        <row r="355">
          <cell r="F355" t="str">
            <v>ESPECIALIZAÇÃO EM MICROBIOLOGIA E PARASITOLOGIA CLÍNICA</v>
          </cell>
          <cell r="G355" t="str">
            <v>Saúde</v>
          </cell>
          <cell r="H355">
            <v>6</v>
          </cell>
          <cell r="I355">
            <v>13</v>
          </cell>
          <cell r="J355">
            <v>439.79280900000003</v>
          </cell>
          <cell r="K355">
            <v>5717.3065170000009</v>
          </cell>
          <cell r="L355">
            <v>0.45</v>
          </cell>
          <cell r="M355">
            <v>217.7</v>
          </cell>
          <cell r="N355">
            <v>2830.1</v>
          </cell>
          <cell r="O355">
            <v>0.50499418011175357</v>
          </cell>
          <cell r="P355">
            <v>0.5</v>
          </cell>
          <cell r="Q355">
            <v>197.91</v>
          </cell>
        </row>
        <row r="356">
          <cell r="F356" t="str">
            <v>ESPECIALIZAÇÃO EM MICROBIOLOGIA, PARASITOLOGIA E MICOLOGIA CLÍNICA</v>
          </cell>
          <cell r="G356" t="str">
            <v>Saúde</v>
          </cell>
          <cell r="H356">
            <v>12</v>
          </cell>
          <cell r="I356">
            <v>19</v>
          </cell>
          <cell r="J356">
            <v>300.91749900000002</v>
          </cell>
          <cell r="K356">
            <v>5717.4324810000007</v>
          </cell>
          <cell r="L356">
            <v>0.45</v>
          </cell>
          <cell r="M356">
            <v>148.94999999999999</v>
          </cell>
          <cell r="N356">
            <v>2830.0499999999997</v>
          </cell>
          <cell r="O356">
            <v>0.50501383105008468</v>
          </cell>
          <cell r="P356">
            <v>0.5</v>
          </cell>
          <cell r="Q356">
            <v>135.41</v>
          </cell>
        </row>
        <row r="357">
          <cell r="F357" t="str">
            <v>ESPECIALIZAÇÃO EM NEUROEDUCAÇÃO</v>
          </cell>
          <cell r="G357" t="str">
            <v>Humanas</v>
          </cell>
          <cell r="H357">
            <v>12</v>
          </cell>
          <cell r="I357">
            <v>19</v>
          </cell>
          <cell r="J357">
            <v>207.609666</v>
          </cell>
          <cell r="K357">
            <v>3944.583654</v>
          </cell>
          <cell r="L357">
            <v>0.45</v>
          </cell>
          <cell r="M357">
            <v>102.77</v>
          </cell>
          <cell r="N357">
            <v>1952.6299999999999</v>
          </cell>
          <cell r="O357">
            <v>0.50498451261898381</v>
          </cell>
          <cell r="P357">
            <v>0.5</v>
          </cell>
          <cell r="Q357">
            <v>93.42</v>
          </cell>
        </row>
        <row r="358">
          <cell r="F358" t="str">
            <v>ESPECIALIZAÇÃO EM NOVAS MÍDIAS</v>
          </cell>
          <cell r="G358" t="str">
            <v>Exatas</v>
          </cell>
          <cell r="H358">
            <v>12</v>
          </cell>
          <cell r="I358">
            <v>19</v>
          </cell>
          <cell r="J358">
            <v>207.609666</v>
          </cell>
          <cell r="K358">
            <v>3944.583654</v>
          </cell>
          <cell r="L358">
            <v>0.45</v>
          </cell>
          <cell r="M358">
            <v>102.77</v>
          </cell>
          <cell r="N358">
            <v>1952.6299999999999</v>
          </cell>
          <cell r="O358">
            <v>0.50498451261898381</v>
          </cell>
          <cell r="P358">
            <v>0.5</v>
          </cell>
          <cell r="Q358">
            <v>93.42</v>
          </cell>
        </row>
        <row r="359">
          <cell r="F359" t="str">
            <v>ESPECIALIZAÇÃO EM NUTRIÇÃO CLÍNICA</v>
          </cell>
          <cell r="G359" t="str">
            <v>Saúde</v>
          </cell>
          <cell r="H359">
            <v>12</v>
          </cell>
          <cell r="I359">
            <v>19</v>
          </cell>
          <cell r="J359">
            <v>300.91749900000002</v>
          </cell>
          <cell r="K359">
            <v>5717.4324810000007</v>
          </cell>
          <cell r="L359">
            <v>0.45</v>
          </cell>
          <cell r="M359">
            <v>148.94999999999999</v>
          </cell>
          <cell r="N359">
            <v>2830.0499999999997</v>
          </cell>
          <cell r="O359">
            <v>0.50501383105008468</v>
          </cell>
          <cell r="P359">
            <v>0.5</v>
          </cell>
          <cell r="Q359">
            <v>135.41</v>
          </cell>
        </row>
        <row r="360">
          <cell r="F360" t="str">
            <v>ESPECIALIZAÇÃO EM NUTRIÇÃO E DIETOTERAPIA</v>
          </cell>
          <cell r="G360" t="str">
            <v>Saúde</v>
          </cell>
          <cell r="H360">
            <v>6</v>
          </cell>
          <cell r="I360">
            <v>13</v>
          </cell>
          <cell r="J360">
            <v>439.79280900000003</v>
          </cell>
          <cell r="K360">
            <v>5717.3065170000009</v>
          </cell>
          <cell r="L360">
            <v>0.45</v>
          </cell>
          <cell r="M360">
            <v>217.7</v>
          </cell>
          <cell r="N360">
            <v>2830.1</v>
          </cell>
          <cell r="O360">
            <v>0.50499418011175357</v>
          </cell>
          <cell r="P360">
            <v>0.5</v>
          </cell>
          <cell r="Q360">
            <v>197.91</v>
          </cell>
        </row>
        <row r="361">
          <cell r="F361" t="str">
            <v>ESPECIALIZAÇÃO EM NUTRIÇÃO E ESPORTES</v>
          </cell>
          <cell r="G361" t="str">
            <v>Saúde</v>
          </cell>
          <cell r="H361">
            <v>6</v>
          </cell>
          <cell r="I361">
            <v>13</v>
          </cell>
          <cell r="J361">
            <v>439.79280900000003</v>
          </cell>
          <cell r="K361">
            <v>5717.3065170000009</v>
          </cell>
          <cell r="L361">
            <v>0.45</v>
          </cell>
          <cell r="M361">
            <v>217.7</v>
          </cell>
          <cell r="N361">
            <v>2830.1</v>
          </cell>
          <cell r="O361">
            <v>0.50499418011175357</v>
          </cell>
          <cell r="P361">
            <v>0.5</v>
          </cell>
          <cell r="Q361">
            <v>197.91</v>
          </cell>
        </row>
        <row r="362">
          <cell r="F362" t="str">
            <v>ESPECIALIZAÇÃO EM NUTRIÇÃO E POLÍTICAS DE NUTRIÇÃO</v>
          </cell>
          <cell r="G362" t="str">
            <v>Saúde</v>
          </cell>
          <cell r="H362">
            <v>6</v>
          </cell>
          <cell r="I362">
            <v>13</v>
          </cell>
          <cell r="J362">
            <v>439.79280900000003</v>
          </cell>
          <cell r="K362">
            <v>5717.3065170000009</v>
          </cell>
          <cell r="L362">
            <v>0.45</v>
          </cell>
          <cell r="M362">
            <v>217.7</v>
          </cell>
          <cell r="N362">
            <v>2830.1</v>
          </cell>
          <cell r="O362">
            <v>0.50499418011175357</v>
          </cell>
          <cell r="P362">
            <v>0.5</v>
          </cell>
          <cell r="Q362">
            <v>197.91</v>
          </cell>
        </row>
        <row r="363">
          <cell r="F363" t="str">
            <v>ESPECIALIZAÇÃO EM NUTRIÇÃO E SAÚDE PÚBLICA</v>
          </cell>
          <cell r="G363" t="str">
            <v>Saúde</v>
          </cell>
          <cell r="H363">
            <v>12</v>
          </cell>
          <cell r="I363">
            <v>19</v>
          </cell>
          <cell r="J363">
            <v>300.91749900000002</v>
          </cell>
          <cell r="K363">
            <v>5717.4324810000007</v>
          </cell>
          <cell r="L363">
            <v>0.45</v>
          </cell>
          <cell r="M363">
            <v>148.94999999999999</v>
          </cell>
          <cell r="N363">
            <v>2830.0499999999997</v>
          </cell>
          <cell r="O363">
            <v>0.50501383105008468</v>
          </cell>
          <cell r="P363">
            <v>0.5</v>
          </cell>
          <cell r="Q363">
            <v>135.41</v>
          </cell>
        </row>
        <row r="364">
          <cell r="F364" t="str">
            <v>ESPECIALIZAÇÃO EM NUTRIÇÃO ESPORTIVA</v>
          </cell>
          <cell r="G364" t="str">
            <v>Saúde</v>
          </cell>
          <cell r="H364">
            <v>12</v>
          </cell>
          <cell r="I364">
            <v>19</v>
          </cell>
          <cell r="J364">
            <v>300.91749900000002</v>
          </cell>
          <cell r="K364">
            <v>5717.4324810000007</v>
          </cell>
          <cell r="L364">
            <v>0.45</v>
          </cell>
          <cell r="M364">
            <v>148.94999999999999</v>
          </cell>
          <cell r="N364">
            <v>2830.0499999999997</v>
          </cell>
          <cell r="O364">
            <v>0.50501383105008468</v>
          </cell>
          <cell r="P364">
            <v>0.5</v>
          </cell>
          <cell r="Q364">
            <v>135.41</v>
          </cell>
        </row>
        <row r="365">
          <cell r="F365" t="str">
            <v>ESPECIALIZAÇÃO EM ORIENTAÇÃO E SUPERVISÃO ESCOLAR</v>
          </cell>
          <cell r="G365" t="str">
            <v>Humanas</v>
          </cell>
          <cell r="H365">
            <v>12</v>
          </cell>
          <cell r="I365">
            <v>19</v>
          </cell>
          <cell r="J365">
            <v>207.609666</v>
          </cell>
          <cell r="K365">
            <v>3944.583654</v>
          </cell>
          <cell r="L365">
            <v>0.45</v>
          </cell>
          <cell r="M365">
            <v>102.77</v>
          </cell>
          <cell r="N365">
            <v>1952.6299999999999</v>
          </cell>
          <cell r="O365">
            <v>0.50498451261898381</v>
          </cell>
          <cell r="P365">
            <v>0.5</v>
          </cell>
          <cell r="Q365">
            <v>93.42</v>
          </cell>
        </row>
        <row r="366">
          <cell r="F366" t="str">
            <v>ESPECIALIZAÇÃO EM PEDAGOGIA EMPRESARIAL</v>
          </cell>
          <cell r="G366" t="str">
            <v>Humanas</v>
          </cell>
          <cell r="H366">
            <v>12</v>
          </cell>
          <cell r="I366">
            <v>19</v>
          </cell>
          <cell r="J366">
            <v>207.609666</v>
          </cell>
          <cell r="K366">
            <v>3944.583654</v>
          </cell>
          <cell r="L366">
            <v>0.45</v>
          </cell>
          <cell r="M366">
            <v>102.77</v>
          </cell>
          <cell r="N366">
            <v>1952.6299999999999</v>
          </cell>
          <cell r="O366">
            <v>0.50498451261898381</v>
          </cell>
          <cell r="P366">
            <v>0.5</v>
          </cell>
          <cell r="Q366">
            <v>93.42</v>
          </cell>
        </row>
        <row r="367">
          <cell r="F367" t="str">
            <v>ESPECIALIZAÇÃO EM PEDAGOGIA NAS ORGANIZAÇÕES</v>
          </cell>
          <cell r="G367" t="str">
            <v>Humanas</v>
          </cell>
          <cell r="H367">
            <v>6</v>
          </cell>
          <cell r="I367">
            <v>13</v>
          </cell>
          <cell r="J367">
            <v>303.42628200000001</v>
          </cell>
          <cell r="K367">
            <v>3944.5416660000001</v>
          </cell>
          <cell r="L367">
            <v>0.45</v>
          </cell>
          <cell r="M367">
            <v>150.19999999999999</v>
          </cell>
          <cell r="N367">
            <v>1952.6</v>
          </cell>
          <cell r="O367">
            <v>0.50498684883203371</v>
          </cell>
          <cell r="P367">
            <v>0.5</v>
          </cell>
          <cell r="Q367">
            <v>136.54</v>
          </cell>
        </row>
        <row r="368">
          <cell r="F368" t="str">
            <v>ESPECIALIZAÇÃO EM PLANEJAMENTO E GESTÃO EDUCACIONAL</v>
          </cell>
          <cell r="G368" t="str">
            <v>Humanas</v>
          </cell>
          <cell r="H368">
            <v>6</v>
          </cell>
          <cell r="I368">
            <v>13</v>
          </cell>
          <cell r="J368">
            <v>303.42628200000001</v>
          </cell>
          <cell r="K368">
            <v>3944.5416660000001</v>
          </cell>
          <cell r="L368">
            <v>0.45</v>
          </cell>
          <cell r="M368">
            <v>150.19999999999999</v>
          </cell>
          <cell r="N368">
            <v>1952.6</v>
          </cell>
          <cell r="O368">
            <v>0.50498684883203371</v>
          </cell>
          <cell r="P368">
            <v>0.5</v>
          </cell>
          <cell r="Q368">
            <v>136.54</v>
          </cell>
        </row>
        <row r="369">
          <cell r="F369" t="str">
            <v>ESPECIALIZAÇÃO EM PODOLOGIA</v>
          </cell>
          <cell r="G369" t="str">
            <v>Saúde</v>
          </cell>
          <cell r="H369">
            <v>6</v>
          </cell>
          <cell r="I369">
            <v>13</v>
          </cell>
          <cell r="J369">
            <v>439.79280900000003</v>
          </cell>
          <cell r="K369">
            <v>5717.3065170000009</v>
          </cell>
          <cell r="L369">
            <v>0.45</v>
          </cell>
          <cell r="M369">
            <v>217.7</v>
          </cell>
          <cell r="N369">
            <v>2830.1</v>
          </cell>
          <cell r="O369">
            <v>0.50499418011175357</v>
          </cell>
          <cell r="P369">
            <v>0.5</v>
          </cell>
          <cell r="Q369">
            <v>197.91</v>
          </cell>
        </row>
        <row r="370">
          <cell r="F370" t="str">
            <v>ESPECIALIZAÇÃO EM PODOLOGIA CLÍNICA</v>
          </cell>
          <cell r="G370" t="str">
            <v>Saúde</v>
          </cell>
          <cell r="H370">
            <v>12</v>
          </cell>
          <cell r="I370">
            <v>19</v>
          </cell>
          <cell r="J370">
            <v>300.91749900000002</v>
          </cell>
          <cell r="K370">
            <v>5717.4324810000007</v>
          </cell>
          <cell r="L370">
            <v>0.45</v>
          </cell>
          <cell r="M370">
            <v>148.94999999999999</v>
          </cell>
          <cell r="N370">
            <v>2830.0499999999997</v>
          </cell>
          <cell r="O370">
            <v>0.50501383105008468</v>
          </cell>
          <cell r="P370">
            <v>0.5</v>
          </cell>
          <cell r="Q370">
            <v>135.41</v>
          </cell>
        </row>
        <row r="371">
          <cell r="F371" t="str">
            <v>ESPECIALIZAÇÃO EM PORTUGUÊS JURÍDICO</v>
          </cell>
          <cell r="G371" t="str">
            <v>Humanas</v>
          </cell>
          <cell r="H371">
            <v>12</v>
          </cell>
          <cell r="I371">
            <v>19</v>
          </cell>
          <cell r="J371">
            <v>207.609666</v>
          </cell>
          <cell r="K371">
            <v>3944.583654</v>
          </cell>
          <cell r="L371">
            <v>0.45</v>
          </cell>
          <cell r="M371">
            <v>102.77</v>
          </cell>
          <cell r="N371">
            <v>1952.6299999999999</v>
          </cell>
          <cell r="O371">
            <v>0.50498451261898381</v>
          </cell>
          <cell r="P371">
            <v>0.5</v>
          </cell>
          <cell r="Q371">
            <v>93.42</v>
          </cell>
        </row>
        <row r="372">
          <cell r="F372" t="str">
            <v>ESPECIALIZAÇÃO EM PRÁTICAS DE LETRAMENTO E ALFABETIZAÇÃO</v>
          </cell>
          <cell r="G372" t="str">
            <v>Humanas</v>
          </cell>
          <cell r="H372">
            <v>6</v>
          </cell>
          <cell r="I372">
            <v>13</v>
          </cell>
          <cell r="J372">
            <v>303.42628200000001</v>
          </cell>
          <cell r="K372">
            <v>3944.5416660000001</v>
          </cell>
          <cell r="L372">
            <v>0.45</v>
          </cell>
          <cell r="M372">
            <v>150.19999999999999</v>
          </cell>
          <cell r="N372">
            <v>1952.6</v>
          </cell>
          <cell r="O372">
            <v>0.50498684883203371</v>
          </cell>
          <cell r="P372">
            <v>0.5</v>
          </cell>
          <cell r="Q372">
            <v>136.54</v>
          </cell>
        </row>
        <row r="373">
          <cell r="F373" t="str">
            <v>ESPECIALIZAÇÃO EM PRÁTICAS MEDIADORAS DE GESTÃO DE CONFLITOS ESCOLAR</v>
          </cell>
          <cell r="G373" t="str">
            <v>Humanas</v>
          </cell>
          <cell r="H373">
            <v>6</v>
          </cell>
          <cell r="I373">
            <v>13</v>
          </cell>
          <cell r="J373">
            <v>303.42628200000001</v>
          </cell>
          <cell r="K373">
            <v>3944.5416660000001</v>
          </cell>
          <cell r="L373">
            <v>0.45</v>
          </cell>
          <cell r="M373">
            <v>150.19999999999999</v>
          </cell>
          <cell r="N373">
            <v>1952.6</v>
          </cell>
          <cell r="O373">
            <v>0.50498684883203371</v>
          </cell>
          <cell r="P373">
            <v>0.5</v>
          </cell>
          <cell r="Q373">
            <v>136.54</v>
          </cell>
        </row>
        <row r="374">
          <cell r="F374" t="str">
            <v>ESPECIALIZAÇÃO EM PRESCRIÇÃO DE FITOTERÁPICOS E SUPLEMENTAÇÃO NUTRICIONAL, CLÍNICA E ESPORTIVA</v>
          </cell>
          <cell r="G374" t="str">
            <v>Saúde</v>
          </cell>
          <cell r="H374">
            <v>12</v>
          </cell>
          <cell r="I374">
            <v>19</v>
          </cell>
          <cell r="J374">
            <v>300.91749900000002</v>
          </cell>
          <cell r="K374">
            <v>5717.4324810000007</v>
          </cell>
          <cell r="L374">
            <v>0.45</v>
          </cell>
          <cell r="M374">
            <v>148.94999999999999</v>
          </cell>
          <cell r="N374">
            <v>2830.0499999999997</v>
          </cell>
          <cell r="O374">
            <v>0.50501383105008468</v>
          </cell>
          <cell r="P374">
            <v>0.5</v>
          </cell>
          <cell r="Q374">
            <v>135.41</v>
          </cell>
        </row>
        <row r="375">
          <cell r="F375" t="str">
            <v>ESPECIALIZAÇÃO EM PROCESSOS GERENCIAIS</v>
          </cell>
          <cell r="G375" t="str">
            <v>Exatas</v>
          </cell>
          <cell r="H375">
            <v>6</v>
          </cell>
          <cell r="I375">
            <v>13</v>
          </cell>
          <cell r="J375">
            <v>303.42628200000001</v>
          </cell>
          <cell r="K375">
            <v>3944.5416660000001</v>
          </cell>
          <cell r="L375">
            <v>0.45</v>
          </cell>
          <cell r="M375">
            <v>150.19999999999999</v>
          </cell>
          <cell r="N375">
            <v>1952.6</v>
          </cell>
          <cell r="O375">
            <v>0.50498684883203371</v>
          </cell>
          <cell r="P375">
            <v>0.5</v>
          </cell>
          <cell r="Q375">
            <v>136.54</v>
          </cell>
        </row>
        <row r="376">
          <cell r="F376" t="str">
            <v>ESPECIALIZAÇÃO EM PROGRAMA NEUROEDUCATIVO</v>
          </cell>
          <cell r="G376" t="str">
            <v>Humanas</v>
          </cell>
          <cell r="H376">
            <v>6</v>
          </cell>
          <cell r="I376">
            <v>13</v>
          </cell>
          <cell r="J376">
            <v>303.42628200000001</v>
          </cell>
          <cell r="K376">
            <v>3944.5416660000001</v>
          </cell>
          <cell r="L376">
            <v>0.45</v>
          </cell>
          <cell r="M376">
            <v>150.19999999999999</v>
          </cell>
          <cell r="N376">
            <v>1952.6</v>
          </cell>
          <cell r="O376">
            <v>0.50498684883203371</v>
          </cell>
          <cell r="P376">
            <v>0.5</v>
          </cell>
          <cell r="Q376">
            <v>136.54</v>
          </cell>
        </row>
        <row r="377">
          <cell r="F377" t="str">
            <v>ESPECIALIZAÇÃO EM PROJETOS DE DESIGN DE INTERIORES</v>
          </cell>
          <cell r="G377" t="str">
            <v>Exatas</v>
          </cell>
          <cell r="H377">
            <v>6</v>
          </cell>
          <cell r="I377">
            <v>13</v>
          </cell>
          <cell r="J377">
            <v>303.42628200000001</v>
          </cell>
          <cell r="K377">
            <v>3944.5416660000001</v>
          </cell>
          <cell r="L377">
            <v>0.45</v>
          </cell>
          <cell r="M377">
            <v>150.19999999999999</v>
          </cell>
          <cell r="N377">
            <v>1952.6</v>
          </cell>
          <cell r="O377">
            <v>0.50498684883203371</v>
          </cell>
          <cell r="P377">
            <v>0.5</v>
          </cell>
          <cell r="Q377">
            <v>136.54</v>
          </cell>
        </row>
        <row r="378">
          <cell r="F378" t="str">
            <v>ESPECIALIZAÇÃO EM PROJETOS DE INTERIORES E SUSTENTABILIDADE</v>
          </cell>
          <cell r="G378" t="str">
            <v>Humanas</v>
          </cell>
          <cell r="H378">
            <v>6</v>
          </cell>
          <cell r="I378">
            <v>13</v>
          </cell>
          <cell r="J378">
            <v>303.42628200000001</v>
          </cell>
          <cell r="K378">
            <v>3944.5416660000001</v>
          </cell>
          <cell r="L378">
            <v>0.45</v>
          </cell>
          <cell r="M378">
            <v>150.19999999999999</v>
          </cell>
          <cell r="N378">
            <v>1952.6</v>
          </cell>
          <cell r="O378">
            <v>0.50498684883203371</v>
          </cell>
          <cell r="P378">
            <v>0.5</v>
          </cell>
          <cell r="Q378">
            <v>136.54</v>
          </cell>
        </row>
        <row r="379">
          <cell r="F379" t="str">
            <v>ESPECIALIZAÇÃO EM PROJETOS DE INTERIORES SUSTENTÁVEIS</v>
          </cell>
          <cell r="G379" t="str">
            <v>Humanas</v>
          </cell>
          <cell r="H379">
            <v>12</v>
          </cell>
          <cell r="I379">
            <v>19</v>
          </cell>
          <cell r="J379">
            <v>207.609666</v>
          </cell>
          <cell r="K379">
            <v>3944.583654</v>
          </cell>
          <cell r="L379">
            <v>0.45</v>
          </cell>
          <cell r="M379">
            <v>102.77</v>
          </cell>
          <cell r="N379">
            <v>1952.6299999999999</v>
          </cell>
          <cell r="O379">
            <v>0.50498451261898381</v>
          </cell>
          <cell r="P379">
            <v>0.5</v>
          </cell>
          <cell r="Q379">
            <v>93.42</v>
          </cell>
        </row>
        <row r="380">
          <cell r="F380" t="str">
            <v>ESPECIALIZAÇÃO EM PSICOLOGIA CLÍNICA HOSPITALAR</v>
          </cell>
          <cell r="G380" t="str">
            <v>Saúde</v>
          </cell>
          <cell r="H380">
            <v>6</v>
          </cell>
          <cell r="I380">
            <v>13</v>
          </cell>
          <cell r="J380">
            <v>439.79280900000003</v>
          </cell>
          <cell r="K380">
            <v>5717.3065170000009</v>
          </cell>
          <cell r="L380">
            <v>0.45</v>
          </cell>
          <cell r="M380">
            <v>217.7</v>
          </cell>
          <cell r="N380">
            <v>2830.1</v>
          </cell>
          <cell r="O380">
            <v>0.50499418011175357</v>
          </cell>
          <cell r="P380">
            <v>0.5</v>
          </cell>
          <cell r="Q380">
            <v>197.91</v>
          </cell>
        </row>
        <row r="381">
          <cell r="F381" t="str">
            <v>ESPECIALIZAÇÃO EM PSICOLOGIA HOSPITALAR</v>
          </cell>
          <cell r="G381" t="str">
            <v>Saúde</v>
          </cell>
          <cell r="H381">
            <v>12</v>
          </cell>
          <cell r="I381">
            <v>19</v>
          </cell>
          <cell r="J381">
            <v>300.91749900000002</v>
          </cell>
          <cell r="K381">
            <v>5717.4324810000007</v>
          </cell>
          <cell r="L381">
            <v>0.45</v>
          </cell>
          <cell r="M381">
            <v>148.94999999999999</v>
          </cell>
          <cell r="N381">
            <v>2830.0499999999997</v>
          </cell>
          <cell r="O381">
            <v>0.50501383105008468</v>
          </cell>
          <cell r="P381">
            <v>0.5</v>
          </cell>
          <cell r="Q381">
            <v>135.41</v>
          </cell>
        </row>
        <row r="382">
          <cell r="F382" t="str">
            <v>ESPECIALIZAÇÃO EM PSICOLOGIA NAS ORGANIZAÇÕES</v>
          </cell>
          <cell r="G382" t="str">
            <v>Humanas</v>
          </cell>
          <cell r="H382">
            <v>6</v>
          </cell>
          <cell r="I382">
            <v>13</v>
          </cell>
          <cell r="J382">
            <v>303.42628200000001</v>
          </cell>
          <cell r="K382">
            <v>3944.5416660000001</v>
          </cell>
          <cell r="L382">
            <v>0.45</v>
          </cell>
          <cell r="M382">
            <v>150.19999999999999</v>
          </cell>
          <cell r="N382">
            <v>1952.6</v>
          </cell>
          <cell r="O382">
            <v>0.50498684883203371</v>
          </cell>
          <cell r="P382">
            <v>0.5</v>
          </cell>
          <cell r="Q382">
            <v>136.54</v>
          </cell>
        </row>
        <row r="383">
          <cell r="F383" t="str">
            <v>ESPECIALIZAÇÃO EM PSICOLOGIA ORGANIZACIONAL</v>
          </cell>
          <cell r="G383" t="str">
            <v>Humanas</v>
          </cell>
          <cell r="H383">
            <v>12</v>
          </cell>
          <cell r="I383">
            <v>19</v>
          </cell>
          <cell r="J383">
            <v>207.609666</v>
          </cell>
          <cell r="K383">
            <v>3944.583654</v>
          </cell>
          <cell r="L383">
            <v>0.45</v>
          </cell>
          <cell r="M383">
            <v>102.77</v>
          </cell>
          <cell r="N383">
            <v>1952.6299999999999</v>
          </cell>
          <cell r="O383">
            <v>0.50498451261898381</v>
          </cell>
          <cell r="P383">
            <v>0.5</v>
          </cell>
          <cell r="Q383">
            <v>93.42</v>
          </cell>
        </row>
        <row r="384">
          <cell r="F384" t="str">
            <v>ESPECIALIZAÇÃO EM PSICOPEDAGOGIA COM ÊNFASE EM EDUCAÇÃO ESPECIAL</v>
          </cell>
          <cell r="G384" t="str">
            <v>Humanas</v>
          </cell>
          <cell r="H384">
            <v>12</v>
          </cell>
          <cell r="I384">
            <v>19</v>
          </cell>
          <cell r="J384">
            <v>207.609666</v>
          </cell>
          <cell r="K384">
            <v>3944.583654</v>
          </cell>
          <cell r="L384">
            <v>0.45</v>
          </cell>
          <cell r="M384">
            <v>102.77</v>
          </cell>
          <cell r="N384">
            <v>1952.6299999999999</v>
          </cell>
          <cell r="O384">
            <v>0.50498451261898381</v>
          </cell>
          <cell r="P384">
            <v>0.5</v>
          </cell>
          <cell r="Q384">
            <v>93.42</v>
          </cell>
        </row>
        <row r="385">
          <cell r="F385" t="str">
            <v>ESPECIALIZAÇÃO EM PSICOPEDAGOGIA EM ÂMBITO HOSPITALAR</v>
          </cell>
          <cell r="G385" t="str">
            <v>Saúde</v>
          </cell>
          <cell r="H385">
            <v>6</v>
          </cell>
          <cell r="I385">
            <v>13</v>
          </cell>
          <cell r="J385">
            <v>439.79280900000003</v>
          </cell>
          <cell r="K385">
            <v>5717.3065170000009</v>
          </cell>
          <cell r="L385">
            <v>0.45</v>
          </cell>
          <cell r="M385">
            <v>217.7</v>
          </cell>
          <cell r="N385">
            <v>2830.1</v>
          </cell>
          <cell r="O385">
            <v>0.50499418011175357</v>
          </cell>
          <cell r="P385">
            <v>0.5</v>
          </cell>
          <cell r="Q385">
            <v>197.91</v>
          </cell>
        </row>
        <row r="386">
          <cell r="F386" t="str">
            <v>ESPECIALIZAÇÃO EM PSICOPEDAGOGIA ESCOLAR</v>
          </cell>
          <cell r="G386" t="str">
            <v>Humanas</v>
          </cell>
          <cell r="H386">
            <v>12</v>
          </cell>
          <cell r="I386">
            <v>19</v>
          </cell>
          <cell r="J386">
            <v>207.609666</v>
          </cell>
          <cell r="K386">
            <v>3944.583654</v>
          </cell>
          <cell r="L386">
            <v>0.45</v>
          </cell>
          <cell r="M386">
            <v>102.77</v>
          </cell>
          <cell r="N386">
            <v>1952.6299999999999</v>
          </cell>
          <cell r="O386">
            <v>0.50498451261898381</v>
          </cell>
          <cell r="P386">
            <v>0.5</v>
          </cell>
          <cell r="Q386">
            <v>93.42</v>
          </cell>
        </row>
        <row r="387">
          <cell r="F387" t="str">
            <v>ESPECIALIZAÇÃO EM PSICOPEDAGOGIA HOSPITALAR</v>
          </cell>
          <cell r="G387" t="str">
            <v>Saúde</v>
          </cell>
          <cell r="H387">
            <v>12</v>
          </cell>
          <cell r="I387">
            <v>19</v>
          </cell>
          <cell r="J387">
            <v>300.91749900000002</v>
          </cell>
          <cell r="K387">
            <v>5717.4324810000007</v>
          </cell>
          <cell r="L387">
            <v>0.45</v>
          </cell>
          <cell r="M387">
            <v>148.94999999999999</v>
          </cell>
          <cell r="N387">
            <v>2830.0499999999997</v>
          </cell>
          <cell r="O387">
            <v>0.50501383105008468</v>
          </cell>
          <cell r="P387">
            <v>0.5</v>
          </cell>
          <cell r="Q387">
            <v>135.41</v>
          </cell>
        </row>
        <row r="388">
          <cell r="F388" t="str">
            <v>ESPECIALIZAÇÃO EM PSICOPEDAGOGIA NA EDUCAÇÃO ESPECIAL</v>
          </cell>
          <cell r="G388" t="str">
            <v>Humanas</v>
          </cell>
          <cell r="H388">
            <v>6</v>
          </cell>
          <cell r="I388">
            <v>13</v>
          </cell>
          <cell r="J388">
            <v>303.42628200000001</v>
          </cell>
          <cell r="K388">
            <v>3944.5416660000001</v>
          </cell>
          <cell r="L388">
            <v>0.45</v>
          </cell>
          <cell r="M388">
            <v>150.19999999999999</v>
          </cell>
          <cell r="N388">
            <v>1952.6</v>
          </cell>
          <cell r="O388">
            <v>0.50498684883203371</v>
          </cell>
          <cell r="P388">
            <v>0.5</v>
          </cell>
          <cell r="Q388">
            <v>136.54</v>
          </cell>
        </row>
        <row r="389">
          <cell r="F389" t="str">
            <v>ESPECIALIZAÇÃO EM PSICOPEDAGOGIA NA ESCOLA</v>
          </cell>
          <cell r="G389" t="str">
            <v>Humanas</v>
          </cell>
          <cell r="H389">
            <v>6</v>
          </cell>
          <cell r="I389">
            <v>13</v>
          </cell>
          <cell r="J389">
            <v>303.42628200000001</v>
          </cell>
          <cell r="K389">
            <v>3944.5416660000001</v>
          </cell>
          <cell r="L389">
            <v>0.45</v>
          </cell>
          <cell r="M389">
            <v>150.19999999999999</v>
          </cell>
          <cell r="N389">
            <v>1952.6</v>
          </cell>
          <cell r="O389">
            <v>0.50498684883203371</v>
          </cell>
          <cell r="P389">
            <v>0.5</v>
          </cell>
          <cell r="Q389">
            <v>136.54</v>
          </cell>
        </row>
        <row r="390">
          <cell r="F390" t="str">
            <v>ESPECIALIZAÇÃO EM RECRUTAMENTO TECH</v>
          </cell>
          <cell r="G390" t="str">
            <v>Exatas</v>
          </cell>
          <cell r="H390">
            <v>6</v>
          </cell>
          <cell r="I390">
            <v>13</v>
          </cell>
          <cell r="J390">
            <v>303.42628200000001</v>
          </cell>
          <cell r="K390">
            <v>3944.5416660000001</v>
          </cell>
          <cell r="L390">
            <v>0.45</v>
          </cell>
          <cell r="M390">
            <v>150.19999999999999</v>
          </cell>
          <cell r="N390">
            <v>1952.6</v>
          </cell>
          <cell r="O390">
            <v>0.50498684883203371</v>
          </cell>
          <cell r="P390">
            <v>0.5</v>
          </cell>
          <cell r="Q390">
            <v>136.54</v>
          </cell>
        </row>
        <row r="391">
          <cell r="F391" t="str">
            <v>ESPECIALIZAÇÃO EM SAÚDE DA FAMÍLIA</v>
          </cell>
          <cell r="G391" t="str">
            <v>Saúde</v>
          </cell>
          <cell r="H391">
            <v>12</v>
          </cell>
          <cell r="I391">
            <v>19</v>
          </cell>
          <cell r="J391">
            <v>300.91749900000002</v>
          </cell>
          <cell r="K391">
            <v>5717.4324810000007</v>
          </cell>
          <cell r="L391">
            <v>0.45</v>
          </cell>
          <cell r="M391">
            <v>148.94999999999999</v>
          </cell>
          <cell r="N391">
            <v>2830.0499999999997</v>
          </cell>
          <cell r="O391">
            <v>0.50501383105008468</v>
          </cell>
          <cell r="P391">
            <v>0.5</v>
          </cell>
          <cell r="Q391">
            <v>135.41</v>
          </cell>
        </row>
        <row r="392">
          <cell r="F392" t="str">
            <v>ESPECIALIZAÇÃO EM SAÚDE DO IDOSO</v>
          </cell>
          <cell r="G392" t="str">
            <v>Saúde</v>
          </cell>
          <cell r="H392">
            <v>12</v>
          </cell>
          <cell r="I392">
            <v>19</v>
          </cell>
          <cell r="J392">
            <v>300.91749900000002</v>
          </cell>
          <cell r="K392">
            <v>5717.4324810000007</v>
          </cell>
          <cell r="L392">
            <v>0.45</v>
          </cell>
          <cell r="M392">
            <v>148.94999999999999</v>
          </cell>
          <cell r="N392">
            <v>2830.0499999999997</v>
          </cell>
          <cell r="O392">
            <v>0.50501383105008468</v>
          </cell>
          <cell r="P392">
            <v>0.5</v>
          </cell>
          <cell r="Q392">
            <v>135.41</v>
          </cell>
        </row>
        <row r="393">
          <cell r="F393" t="str">
            <v>ESPECIALIZAÇÃO EM SAÚDE DO TRABALHADOR</v>
          </cell>
          <cell r="G393" t="str">
            <v>Saúde</v>
          </cell>
          <cell r="H393">
            <v>12</v>
          </cell>
          <cell r="I393">
            <v>19</v>
          </cell>
          <cell r="J393">
            <v>300.91749900000002</v>
          </cell>
          <cell r="K393">
            <v>5717.4324810000007</v>
          </cell>
          <cell r="L393">
            <v>0.45</v>
          </cell>
          <cell r="M393">
            <v>148.94999999999999</v>
          </cell>
          <cell r="N393">
            <v>2830.0499999999997</v>
          </cell>
          <cell r="O393">
            <v>0.50501383105008468</v>
          </cell>
          <cell r="P393">
            <v>0.5</v>
          </cell>
          <cell r="Q393">
            <v>135.41</v>
          </cell>
        </row>
        <row r="394">
          <cell r="F394" t="str">
            <v>ESPECIALIZAÇÃO EM SAÚDE E SEGURANÇA DO TRABALHADOR</v>
          </cell>
          <cell r="G394" t="str">
            <v>Saúde</v>
          </cell>
          <cell r="H394">
            <v>6</v>
          </cell>
          <cell r="I394">
            <v>13</v>
          </cell>
          <cell r="J394">
            <v>439.79280900000003</v>
          </cell>
          <cell r="K394">
            <v>5717.3065170000009</v>
          </cell>
          <cell r="L394">
            <v>0.45</v>
          </cell>
          <cell r="M394">
            <v>217.7</v>
          </cell>
          <cell r="N394">
            <v>2830.1</v>
          </cell>
          <cell r="O394">
            <v>0.50499418011175357</v>
          </cell>
          <cell r="P394">
            <v>0.5</v>
          </cell>
          <cell r="Q394">
            <v>197.91</v>
          </cell>
        </row>
        <row r="395">
          <cell r="F395" t="str">
            <v>ESPECIALIZAÇÃO EM SAÚDE GERIÁTRICA</v>
          </cell>
          <cell r="G395" t="str">
            <v>Saúde</v>
          </cell>
          <cell r="H395">
            <v>6</v>
          </cell>
          <cell r="I395">
            <v>13</v>
          </cell>
          <cell r="J395">
            <v>439.79280900000003</v>
          </cell>
          <cell r="K395">
            <v>5717.3065170000009</v>
          </cell>
          <cell r="L395">
            <v>0.45</v>
          </cell>
          <cell r="M395">
            <v>217.7</v>
          </cell>
          <cell r="N395">
            <v>2830.1</v>
          </cell>
          <cell r="O395">
            <v>0.50499418011175357</v>
          </cell>
          <cell r="P395">
            <v>0.5</v>
          </cell>
          <cell r="Q395">
            <v>197.91</v>
          </cell>
        </row>
        <row r="396">
          <cell r="F396" t="str">
            <v>ESPECIALIZAÇÃO EM SAÚDE PÚBLICA</v>
          </cell>
          <cell r="G396" t="str">
            <v>Saúde</v>
          </cell>
          <cell r="H396">
            <v>12</v>
          </cell>
          <cell r="I396">
            <v>19</v>
          </cell>
          <cell r="J396">
            <v>300.91749900000002</v>
          </cell>
          <cell r="K396">
            <v>5717.4324810000007</v>
          </cell>
          <cell r="L396">
            <v>0.45</v>
          </cell>
          <cell r="M396">
            <v>148.94999999999999</v>
          </cell>
          <cell r="N396">
            <v>2830.0499999999997</v>
          </cell>
          <cell r="O396">
            <v>0.50501383105008468</v>
          </cell>
          <cell r="P396">
            <v>0.5</v>
          </cell>
          <cell r="Q396">
            <v>135.41</v>
          </cell>
        </row>
        <row r="397">
          <cell r="F397" t="str">
            <v>ESPECIALIZAÇÃO EM SAÚDE PÚBLICA E COLETIVA</v>
          </cell>
          <cell r="G397" t="str">
            <v>Saúde</v>
          </cell>
          <cell r="H397">
            <v>6</v>
          </cell>
          <cell r="I397">
            <v>13</v>
          </cell>
          <cell r="J397">
            <v>439.79280900000003</v>
          </cell>
          <cell r="K397">
            <v>5717.3065170000009</v>
          </cell>
          <cell r="L397">
            <v>0.45</v>
          </cell>
          <cell r="M397">
            <v>217.7</v>
          </cell>
          <cell r="N397">
            <v>2830.1</v>
          </cell>
          <cell r="O397">
            <v>0.50499418011175357</v>
          </cell>
          <cell r="P397">
            <v>0.5</v>
          </cell>
          <cell r="Q397">
            <v>197.91</v>
          </cell>
        </row>
        <row r="398">
          <cell r="F398" t="str">
            <v>ESPECIALIZAÇÃO EM SEGURANÇA CIBERNÉTICA</v>
          </cell>
          <cell r="G398" t="str">
            <v>Exatas</v>
          </cell>
          <cell r="H398">
            <v>6</v>
          </cell>
          <cell r="I398">
            <v>13</v>
          </cell>
          <cell r="J398">
            <v>439.79280900000003</v>
          </cell>
          <cell r="K398">
            <v>5717.3065170000009</v>
          </cell>
          <cell r="L398">
            <v>0.45</v>
          </cell>
          <cell r="M398">
            <v>217.7</v>
          </cell>
          <cell r="N398">
            <v>2830.1</v>
          </cell>
          <cell r="O398">
            <v>0.50499418011175357</v>
          </cell>
          <cell r="P398">
            <v>0.5</v>
          </cell>
          <cell r="Q398">
            <v>197.91</v>
          </cell>
        </row>
        <row r="399">
          <cell r="F399" t="str">
            <v>ESPECIALIZAÇÃO EM SEGURANÇA DIGITAL</v>
          </cell>
          <cell r="G399" t="str">
            <v>Exatas</v>
          </cell>
          <cell r="H399">
            <v>6</v>
          </cell>
          <cell r="I399">
            <v>13</v>
          </cell>
          <cell r="J399">
            <v>303.42628200000001</v>
          </cell>
          <cell r="K399">
            <v>3944.5416660000001</v>
          </cell>
          <cell r="L399">
            <v>0.45</v>
          </cell>
          <cell r="M399">
            <v>150.19999999999999</v>
          </cell>
          <cell r="N399">
            <v>1952.6</v>
          </cell>
          <cell r="O399">
            <v>0.50498684883203371</v>
          </cell>
          <cell r="P399">
            <v>0.5</v>
          </cell>
          <cell r="Q399">
            <v>136.54</v>
          </cell>
        </row>
        <row r="400">
          <cell r="F400" t="str">
            <v>ESPECIALIZAÇÃO EM SEGURANÇA PÚBLICA</v>
          </cell>
          <cell r="G400" t="str">
            <v>Humanas</v>
          </cell>
          <cell r="H400">
            <v>12</v>
          </cell>
          <cell r="I400">
            <v>19</v>
          </cell>
          <cell r="J400">
            <v>207.609666</v>
          </cell>
          <cell r="K400">
            <v>3944.583654</v>
          </cell>
          <cell r="L400">
            <v>0.45</v>
          </cell>
          <cell r="M400">
            <v>102.77</v>
          </cell>
          <cell r="N400">
            <v>1952.6299999999999</v>
          </cell>
          <cell r="O400">
            <v>0.50498451261898381</v>
          </cell>
          <cell r="P400">
            <v>0.5</v>
          </cell>
          <cell r="Q400">
            <v>93.42</v>
          </cell>
        </row>
        <row r="401">
          <cell r="F401" t="str">
            <v>ESPECIALIZAÇÃO EM SISTEMAS DE INFORMAÇÃO</v>
          </cell>
          <cell r="G401" t="str">
            <v>Exatas</v>
          </cell>
          <cell r="H401">
            <v>12</v>
          </cell>
          <cell r="I401">
            <v>19</v>
          </cell>
          <cell r="J401">
            <v>300.91749900000002</v>
          </cell>
          <cell r="K401">
            <v>5717.4324810000007</v>
          </cell>
          <cell r="L401">
            <v>0.45</v>
          </cell>
          <cell r="M401">
            <v>148.94999999999999</v>
          </cell>
          <cell r="N401">
            <v>2830.0499999999997</v>
          </cell>
          <cell r="O401">
            <v>0.50501383105008468</v>
          </cell>
          <cell r="P401">
            <v>0.5</v>
          </cell>
          <cell r="Q401">
            <v>135.41</v>
          </cell>
        </row>
        <row r="402">
          <cell r="F402" t="str">
            <v>ESPECIALIZAÇÃO EM SISTEMAS INFORMÁTICOS</v>
          </cell>
          <cell r="G402" t="str">
            <v>Exatas</v>
          </cell>
          <cell r="H402">
            <v>6</v>
          </cell>
          <cell r="I402">
            <v>13</v>
          </cell>
          <cell r="J402">
            <v>439.79280900000003</v>
          </cell>
          <cell r="K402">
            <v>5717.3065170000009</v>
          </cell>
          <cell r="L402">
            <v>0.45</v>
          </cell>
          <cell r="M402">
            <v>217.7</v>
          </cell>
          <cell r="N402">
            <v>2830.1</v>
          </cell>
          <cell r="O402">
            <v>0.50499418011175357</v>
          </cell>
          <cell r="P402">
            <v>0.5</v>
          </cell>
          <cell r="Q402">
            <v>197.91</v>
          </cell>
        </row>
        <row r="403">
          <cell r="F403" t="str">
            <v>ESPECIALIZAÇÃO EM SUPERVISÃO ESCOLAR E ORIENTAÇÃO</v>
          </cell>
          <cell r="G403" t="str">
            <v>Humanas</v>
          </cell>
          <cell r="H403">
            <v>6</v>
          </cell>
          <cell r="I403">
            <v>13</v>
          </cell>
          <cell r="J403">
            <v>303.42628200000001</v>
          </cell>
          <cell r="K403">
            <v>3944.5416660000001</v>
          </cell>
          <cell r="L403">
            <v>0.45</v>
          </cell>
          <cell r="M403">
            <v>150.19999999999999</v>
          </cell>
          <cell r="N403">
            <v>1952.6</v>
          </cell>
          <cell r="O403">
            <v>0.50498684883203371</v>
          </cell>
          <cell r="P403">
            <v>0.5</v>
          </cell>
          <cell r="Q403">
            <v>136.54</v>
          </cell>
        </row>
        <row r="404">
          <cell r="F404" t="str">
            <v>ESPECIALIZAÇÃO EM TECH RECRUITER</v>
          </cell>
          <cell r="G404" t="str">
            <v>Exatas</v>
          </cell>
          <cell r="H404">
            <v>12</v>
          </cell>
          <cell r="I404">
            <v>19</v>
          </cell>
          <cell r="J404">
            <v>207.609666</v>
          </cell>
          <cell r="K404">
            <v>3944.583654</v>
          </cell>
          <cell r="L404">
            <v>0.45</v>
          </cell>
          <cell r="M404">
            <v>102.77</v>
          </cell>
          <cell r="N404">
            <v>1952.6299999999999</v>
          </cell>
          <cell r="O404">
            <v>0.50498451261898381</v>
          </cell>
          <cell r="P404">
            <v>0.5</v>
          </cell>
          <cell r="Q404">
            <v>93.42</v>
          </cell>
        </row>
        <row r="405">
          <cell r="F405" t="str">
            <v>ESPECIALIZAÇÃO EM TEOLOGIA BÍBLICA AVANÇADA</v>
          </cell>
          <cell r="G405" t="str">
            <v>Humanas</v>
          </cell>
          <cell r="H405">
            <v>12</v>
          </cell>
          <cell r="I405">
            <v>19</v>
          </cell>
          <cell r="J405">
            <v>184.28091221052631</v>
          </cell>
          <cell r="K405">
            <v>3501.3373320000001</v>
          </cell>
          <cell r="L405">
            <v>0.45</v>
          </cell>
          <cell r="M405">
            <v>91.22</v>
          </cell>
          <cell r="N405">
            <v>1733.18</v>
          </cell>
          <cell r="O405">
            <v>0.50499485320656334</v>
          </cell>
          <cell r="P405">
            <v>0.5</v>
          </cell>
          <cell r="Q405">
            <v>82.93</v>
          </cell>
        </row>
        <row r="406">
          <cell r="F406" t="str">
            <v>ESPECIALIZAÇÃO EM TESTES ÁGEIS DE SOFTWARE</v>
          </cell>
          <cell r="G406" t="str">
            <v>Exatas</v>
          </cell>
          <cell r="H406">
            <v>6</v>
          </cell>
          <cell r="I406">
            <v>13</v>
          </cell>
          <cell r="J406">
            <v>439.79280900000003</v>
          </cell>
          <cell r="K406">
            <v>5717.3065170000009</v>
          </cell>
          <cell r="L406">
            <v>0.45</v>
          </cell>
          <cell r="M406">
            <v>217.7</v>
          </cell>
          <cell r="N406">
            <v>2830.1</v>
          </cell>
          <cell r="O406">
            <v>0.50499418011175357</v>
          </cell>
          <cell r="P406">
            <v>0.5</v>
          </cell>
          <cell r="Q406">
            <v>197.91</v>
          </cell>
        </row>
        <row r="407">
          <cell r="F407" t="str">
            <v>ESPECIALIZAÇÃO EM TESTES DE SOFTWARE ÁGIL</v>
          </cell>
          <cell r="G407" t="str">
            <v>Negócios</v>
          </cell>
          <cell r="H407">
            <v>12</v>
          </cell>
          <cell r="I407">
            <v>19</v>
          </cell>
          <cell r="J407">
            <v>300.91749900000002</v>
          </cell>
          <cell r="K407">
            <v>5717.4324810000007</v>
          </cell>
          <cell r="L407">
            <v>0.45</v>
          </cell>
          <cell r="M407">
            <v>148.94999999999999</v>
          </cell>
          <cell r="N407">
            <v>2830.0499999999997</v>
          </cell>
          <cell r="O407">
            <v>0.50501383105008468</v>
          </cell>
          <cell r="P407">
            <v>0.5</v>
          </cell>
          <cell r="Q407">
            <v>135.41</v>
          </cell>
        </row>
        <row r="408">
          <cell r="F408" t="str">
            <v>ESPECIALIZAÇÃO EM TRANSFORMAÇÃO DIGITAL E CULTURA DIGITAL NAS ORGANIZAÇÕES</v>
          </cell>
          <cell r="G408" t="str">
            <v>Exatas</v>
          </cell>
          <cell r="H408">
            <v>6</v>
          </cell>
          <cell r="I408">
            <v>13</v>
          </cell>
          <cell r="J408">
            <v>303.42628200000001</v>
          </cell>
          <cell r="K408">
            <v>3944.5416660000001</v>
          </cell>
          <cell r="L408">
            <v>0.45</v>
          </cell>
          <cell r="M408">
            <v>150.19999999999999</v>
          </cell>
          <cell r="N408">
            <v>1952.6</v>
          </cell>
          <cell r="O408">
            <v>0.50498684883203371</v>
          </cell>
          <cell r="P408">
            <v>0.5</v>
          </cell>
          <cell r="Q408">
            <v>136.54</v>
          </cell>
        </row>
        <row r="409">
          <cell r="F409" t="str">
            <v>ESPECIALIZAÇÃO EM USER EXPERIENCE DESIGN</v>
          </cell>
          <cell r="G409" t="str">
            <v>Exatas</v>
          </cell>
          <cell r="H409">
            <v>12</v>
          </cell>
          <cell r="I409">
            <v>19</v>
          </cell>
          <cell r="J409">
            <v>207.609666</v>
          </cell>
          <cell r="K409">
            <v>3944.583654</v>
          </cell>
          <cell r="L409">
            <v>0.45</v>
          </cell>
          <cell r="M409">
            <v>102.77</v>
          </cell>
          <cell r="N409">
            <v>1952.6299999999999</v>
          </cell>
          <cell r="O409">
            <v>0.50498451261898381</v>
          </cell>
          <cell r="P409">
            <v>0.5</v>
          </cell>
          <cell r="Q409">
            <v>93.42</v>
          </cell>
        </row>
        <row r="410">
          <cell r="F410" t="str">
            <v>ESPECIALIZAÇÃO EM UX DESIGN</v>
          </cell>
          <cell r="G410" t="str">
            <v>Exatas</v>
          </cell>
          <cell r="H410">
            <v>6</v>
          </cell>
          <cell r="I410">
            <v>13</v>
          </cell>
          <cell r="J410">
            <v>303.42628200000001</v>
          </cell>
          <cell r="K410">
            <v>3944.5416660000001</v>
          </cell>
          <cell r="L410">
            <v>0.45</v>
          </cell>
          <cell r="M410">
            <v>150.19999999999999</v>
          </cell>
          <cell r="N410">
            <v>1952.6</v>
          </cell>
          <cell r="O410">
            <v>0.50498684883203371</v>
          </cell>
          <cell r="P410">
            <v>0.5</v>
          </cell>
          <cell r="Q410">
            <v>136.54</v>
          </cell>
        </row>
        <row r="411">
          <cell r="F411" t="str">
            <v>ESPECIALIZAÇÃO EM VIGILÂNCIA EM SAÚDE E EPIDEMIOLOGIA</v>
          </cell>
          <cell r="G411" t="str">
            <v>Saúde</v>
          </cell>
          <cell r="H411">
            <v>6</v>
          </cell>
          <cell r="I411">
            <v>13</v>
          </cell>
          <cell r="J411">
            <v>439.79280900000003</v>
          </cell>
          <cell r="K411">
            <v>5717.3065170000009</v>
          </cell>
          <cell r="L411">
            <v>0.45</v>
          </cell>
          <cell r="M411">
            <v>217.7</v>
          </cell>
          <cell r="N411">
            <v>2830.1</v>
          </cell>
          <cell r="O411">
            <v>0.50499418011175357</v>
          </cell>
          <cell r="P411">
            <v>0.5</v>
          </cell>
          <cell r="Q411">
            <v>197.91</v>
          </cell>
        </row>
        <row r="412">
          <cell r="F412" t="str">
            <v>ESPECIALIZAÇÃO NA EDUCAÇÃO COM ÊNFASE NO PROCESSO DE FORMAÇÃO ÉTNICO - RACIAL</v>
          </cell>
          <cell r="G412" t="str">
            <v>Saúde</v>
          </cell>
          <cell r="H412">
            <v>6</v>
          </cell>
          <cell r="I412">
            <v>13</v>
          </cell>
          <cell r="J412">
            <v>303.42628200000001</v>
          </cell>
          <cell r="K412">
            <v>3944.5416660000001</v>
          </cell>
          <cell r="L412">
            <v>0.45</v>
          </cell>
          <cell r="M412">
            <v>150.19999999999999</v>
          </cell>
          <cell r="N412">
            <v>1952.6</v>
          </cell>
          <cell r="O412">
            <v>0.50498684883203371</v>
          </cell>
          <cell r="P412">
            <v>0.5</v>
          </cell>
          <cell r="Q412">
            <v>136.54</v>
          </cell>
        </row>
        <row r="413">
          <cell r="F413" t="str">
            <v>MBA EM ADMINISTRAÇÃO PÚBLICA</v>
          </cell>
          <cell r="G413" t="str">
            <v>Humanas</v>
          </cell>
          <cell r="H413">
            <v>6</v>
          </cell>
          <cell r="I413">
            <v>13</v>
          </cell>
          <cell r="J413">
            <v>303.42628200000001</v>
          </cell>
          <cell r="K413">
            <v>3944.5416660000001</v>
          </cell>
          <cell r="L413">
            <v>0.45</v>
          </cell>
          <cell r="M413">
            <v>150.19999999999999</v>
          </cell>
          <cell r="N413">
            <v>1952.6</v>
          </cell>
          <cell r="O413">
            <v>0.50498684883203371</v>
          </cell>
          <cell r="P413">
            <v>0.5</v>
          </cell>
          <cell r="Q413">
            <v>136.54</v>
          </cell>
        </row>
        <row r="414">
          <cell r="F414" t="str">
            <v>MBA EM AUDITORIA E CONTROLADORIA</v>
          </cell>
          <cell r="G414" t="str">
            <v>Humanas</v>
          </cell>
          <cell r="H414">
            <v>6</v>
          </cell>
          <cell r="I414">
            <v>13</v>
          </cell>
          <cell r="J414">
            <v>303.42628200000001</v>
          </cell>
          <cell r="K414">
            <v>3944.5416660000001</v>
          </cell>
          <cell r="L414">
            <v>0.45</v>
          </cell>
          <cell r="M414">
            <v>150.19999999999999</v>
          </cell>
          <cell r="N414">
            <v>1952.6</v>
          </cell>
          <cell r="O414">
            <v>0.50498684883203371</v>
          </cell>
          <cell r="P414">
            <v>0.5</v>
          </cell>
          <cell r="Q414">
            <v>136.54</v>
          </cell>
        </row>
        <row r="415">
          <cell r="F415" t="str">
            <v>MBA EM AUDITORIA EM SAÚDE</v>
          </cell>
          <cell r="G415" t="str">
            <v>Saúde</v>
          </cell>
          <cell r="H415">
            <v>12</v>
          </cell>
          <cell r="I415">
            <v>19</v>
          </cell>
          <cell r="J415">
            <v>300.91749900000002</v>
          </cell>
          <cell r="K415">
            <v>5717.4324810000007</v>
          </cell>
          <cell r="L415">
            <v>0.45</v>
          </cell>
          <cell r="M415">
            <v>148.94999999999999</v>
          </cell>
          <cell r="N415">
            <v>2830.0499999999997</v>
          </cell>
          <cell r="O415">
            <v>0.50501383105008468</v>
          </cell>
          <cell r="P415">
            <v>0.5</v>
          </cell>
          <cell r="Q415">
            <v>135.41</v>
          </cell>
        </row>
        <row r="416">
          <cell r="F416" t="str">
            <v>MBA EM AUDITORIA EM SERVIÇOS DE SAÚDE</v>
          </cell>
          <cell r="G416" t="str">
            <v>Saúde</v>
          </cell>
          <cell r="H416">
            <v>6</v>
          </cell>
          <cell r="I416">
            <v>13</v>
          </cell>
          <cell r="J416">
            <v>439.79280900000003</v>
          </cell>
          <cell r="K416">
            <v>5717.3065170000009</v>
          </cell>
          <cell r="L416">
            <v>0.45</v>
          </cell>
          <cell r="M416">
            <v>217.7</v>
          </cell>
          <cell r="N416">
            <v>2830.1</v>
          </cell>
          <cell r="O416">
            <v>0.50499418011175357</v>
          </cell>
          <cell r="P416">
            <v>0.5</v>
          </cell>
          <cell r="Q416">
            <v>197.91</v>
          </cell>
        </row>
        <row r="417">
          <cell r="F417" t="str">
            <v>MBA EM CIÊNCIA DE DADOS PARA APOSTAS ESPORTIVAS</v>
          </cell>
          <cell r="G417" t="str">
            <v>Exatas</v>
          </cell>
          <cell r="H417">
            <v>12</v>
          </cell>
          <cell r="I417">
            <v>19</v>
          </cell>
          <cell r="J417">
            <v>184.28091221052631</v>
          </cell>
          <cell r="K417">
            <v>3501.3373320000001</v>
          </cell>
          <cell r="L417">
            <v>0.45</v>
          </cell>
          <cell r="M417">
            <v>91.22</v>
          </cell>
          <cell r="N417">
            <v>1733.18</v>
          </cell>
          <cell r="O417">
            <v>0.50499485320656334</v>
          </cell>
          <cell r="P417">
            <v>0.5</v>
          </cell>
          <cell r="Q417">
            <v>82.93</v>
          </cell>
        </row>
        <row r="418">
          <cell r="F418" t="str">
            <v>MBA EM COACHING</v>
          </cell>
          <cell r="G418" t="str">
            <v>Humanas</v>
          </cell>
          <cell r="H418">
            <v>6</v>
          </cell>
          <cell r="I418">
            <v>13</v>
          </cell>
          <cell r="J418">
            <v>303.42628200000001</v>
          </cell>
          <cell r="K418">
            <v>3944.5416660000001</v>
          </cell>
          <cell r="L418">
            <v>0.45</v>
          </cell>
          <cell r="M418">
            <v>150.19999999999999</v>
          </cell>
          <cell r="N418">
            <v>1952.6</v>
          </cell>
          <cell r="O418">
            <v>0.50498684883203371</v>
          </cell>
          <cell r="P418">
            <v>0.5</v>
          </cell>
          <cell r="Q418">
            <v>136.54</v>
          </cell>
        </row>
        <row r="419">
          <cell r="F419" t="str">
            <v>MBA EM COACHING E GESTÃO DE PESSOAS</v>
          </cell>
          <cell r="G419" t="str">
            <v>Humanas</v>
          </cell>
          <cell r="H419">
            <v>6</v>
          </cell>
          <cell r="I419">
            <v>13</v>
          </cell>
          <cell r="J419">
            <v>303.42628200000001</v>
          </cell>
          <cell r="K419">
            <v>3944.5416660000001</v>
          </cell>
          <cell r="L419">
            <v>0.45</v>
          </cell>
          <cell r="M419">
            <v>150.19999999999999</v>
          </cell>
          <cell r="N419">
            <v>1952.6</v>
          </cell>
          <cell r="O419">
            <v>0.50498684883203371</v>
          </cell>
          <cell r="P419">
            <v>0.5</v>
          </cell>
          <cell r="Q419">
            <v>136.54</v>
          </cell>
        </row>
        <row r="420">
          <cell r="F420" t="str">
            <v>MBA EM COACHING E GESTÃO DE TALENTOS</v>
          </cell>
          <cell r="G420" t="str">
            <v>Humanas</v>
          </cell>
          <cell r="H420">
            <v>12</v>
          </cell>
          <cell r="I420">
            <v>19</v>
          </cell>
          <cell r="J420">
            <v>207.609666</v>
          </cell>
          <cell r="K420">
            <v>3944.583654</v>
          </cell>
          <cell r="L420">
            <v>0.45</v>
          </cell>
          <cell r="M420">
            <v>102.77</v>
          </cell>
          <cell r="N420">
            <v>1952.6299999999999</v>
          </cell>
          <cell r="O420">
            <v>0.50498451261898381</v>
          </cell>
          <cell r="P420">
            <v>0.5</v>
          </cell>
          <cell r="Q420">
            <v>93.42</v>
          </cell>
        </row>
        <row r="421">
          <cell r="F421" t="str">
            <v>MBA EM COMPLIANCE DIGITAL E PROTEÇÃO DE DADOS</v>
          </cell>
          <cell r="G421" t="str">
            <v>Exatas</v>
          </cell>
          <cell r="H421">
            <v>6</v>
          </cell>
          <cell r="I421">
            <v>13</v>
          </cell>
          <cell r="J421">
            <v>439.79280900000003</v>
          </cell>
          <cell r="K421">
            <v>5717.3065170000009</v>
          </cell>
          <cell r="L421">
            <v>0.45</v>
          </cell>
          <cell r="M421">
            <v>217.7</v>
          </cell>
          <cell r="N421">
            <v>2830.1</v>
          </cell>
          <cell r="O421">
            <v>0.50499418011175357</v>
          </cell>
          <cell r="P421">
            <v>0.5</v>
          </cell>
          <cell r="Q421">
            <v>197.91</v>
          </cell>
        </row>
        <row r="422">
          <cell r="F422" t="str">
            <v>MBA EM CONTABILIDADE EMPRESARIAL</v>
          </cell>
          <cell r="G422" t="str">
            <v>Humanas</v>
          </cell>
          <cell r="H422">
            <v>12</v>
          </cell>
          <cell r="I422">
            <v>19</v>
          </cell>
          <cell r="J422">
            <v>207.609666</v>
          </cell>
          <cell r="K422">
            <v>3944.583654</v>
          </cell>
          <cell r="L422">
            <v>0.45</v>
          </cell>
          <cell r="M422">
            <v>102.77</v>
          </cell>
          <cell r="N422">
            <v>1952.6299999999999</v>
          </cell>
          <cell r="O422">
            <v>0.50498451261898381</v>
          </cell>
          <cell r="P422">
            <v>0.5</v>
          </cell>
          <cell r="Q422">
            <v>93.42</v>
          </cell>
        </row>
        <row r="423">
          <cell r="F423" t="str">
            <v>MBA EM CONTABILIDADE NAS EMPRESAS</v>
          </cell>
          <cell r="G423" t="str">
            <v>Humanas</v>
          </cell>
          <cell r="H423">
            <v>6</v>
          </cell>
          <cell r="I423">
            <v>13</v>
          </cell>
          <cell r="J423">
            <v>303.42628200000001</v>
          </cell>
          <cell r="K423">
            <v>3944.5416660000001</v>
          </cell>
          <cell r="L423">
            <v>0.45</v>
          </cell>
          <cell r="M423">
            <v>150.19999999999999</v>
          </cell>
          <cell r="N423">
            <v>1952.6</v>
          </cell>
          <cell r="O423">
            <v>0.50498684883203371</v>
          </cell>
          <cell r="P423">
            <v>0.5</v>
          </cell>
          <cell r="Q423">
            <v>136.54</v>
          </cell>
        </row>
        <row r="424">
          <cell r="F424" t="str">
            <v>MBA EM CONTABILIDADE, AUDITORIA E CONTROLADORIA</v>
          </cell>
          <cell r="G424" t="str">
            <v>Humanas</v>
          </cell>
          <cell r="H424">
            <v>12</v>
          </cell>
          <cell r="I424">
            <v>19</v>
          </cell>
          <cell r="J424">
            <v>207.609666</v>
          </cell>
          <cell r="K424">
            <v>3944.583654</v>
          </cell>
          <cell r="L424">
            <v>0.45</v>
          </cell>
          <cell r="M424">
            <v>102.77</v>
          </cell>
          <cell r="N424">
            <v>1952.6299999999999</v>
          </cell>
          <cell r="O424">
            <v>0.50498451261898381</v>
          </cell>
          <cell r="P424">
            <v>0.5</v>
          </cell>
          <cell r="Q424">
            <v>93.42</v>
          </cell>
        </row>
        <row r="425">
          <cell r="F425" t="str">
            <v>MBA EM DATA PROTECTION OFFICER</v>
          </cell>
          <cell r="G425" t="str">
            <v>Exatas</v>
          </cell>
          <cell r="H425">
            <v>12</v>
          </cell>
          <cell r="I425">
            <v>19</v>
          </cell>
          <cell r="J425">
            <v>300.91749900000002</v>
          </cell>
          <cell r="K425">
            <v>5717.4324810000007</v>
          </cell>
          <cell r="L425">
            <v>0.45</v>
          </cell>
          <cell r="M425">
            <v>148.94999999999999</v>
          </cell>
          <cell r="N425">
            <v>2830.0499999999997</v>
          </cell>
          <cell r="O425">
            <v>0.50501383105008468</v>
          </cell>
          <cell r="P425">
            <v>0.5</v>
          </cell>
          <cell r="Q425">
            <v>135.41</v>
          </cell>
        </row>
        <row r="426">
          <cell r="F426" t="str">
            <v>MBA EM EMPREENDEDORISMO</v>
          </cell>
          <cell r="G426" t="str">
            <v>Humanas</v>
          </cell>
          <cell r="H426">
            <v>12</v>
          </cell>
          <cell r="I426">
            <v>19</v>
          </cell>
          <cell r="J426">
            <v>207.609666</v>
          </cell>
          <cell r="K426">
            <v>3944.583654</v>
          </cell>
          <cell r="L426">
            <v>0.45</v>
          </cell>
          <cell r="M426">
            <v>102.77</v>
          </cell>
          <cell r="N426">
            <v>1952.6299999999999</v>
          </cell>
          <cell r="O426">
            <v>0.50498451261898381</v>
          </cell>
          <cell r="P426">
            <v>0.5</v>
          </cell>
          <cell r="Q426">
            <v>93.42</v>
          </cell>
        </row>
        <row r="427">
          <cell r="F427" t="str">
            <v>MBA EM GERENCIAMENTO DE PROJETOS</v>
          </cell>
          <cell r="G427" t="str">
            <v>Humanas</v>
          </cell>
          <cell r="H427">
            <v>6</v>
          </cell>
          <cell r="I427">
            <v>13</v>
          </cell>
          <cell r="J427">
            <v>303.42628200000001</v>
          </cell>
          <cell r="K427">
            <v>3944.5416660000001</v>
          </cell>
          <cell r="L427">
            <v>0.45</v>
          </cell>
          <cell r="M427">
            <v>150.19999999999999</v>
          </cell>
          <cell r="N427">
            <v>1952.6</v>
          </cell>
          <cell r="O427">
            <v>0.50498684883203371</v>
          </cell>
          <cell r="P427">
            <v>0.5</v>
          </cell>
          <cell r="Q427">
            <v>136.54</v>
          </cell>
        </row>
        <row r="428">
          <cell r="F428" t="str">
            <v>MBA EM GESTÃO 4.0: TRANSFORMAÇÃO DIGITAL E AUTOMAÇÃO DE PROCESSOS</v>
          </cell>
          <cell r="G428" t="str">
            <v>Negócios</v>
          </cell>
          <cell r="H428">
            <v>12</v>
          </cell>
          <cell r="I428">
            <v>19</v>
          </cell>
          <cell r="J428">
            <v>300.91749900000002</v>
          </cell>
          <cell r="K428">
            <v>5717.4324810000007</v>
          </cell>
          <cell r="L428">
            <v>0.45</v>
          </cell>
          <cell r="M428">
            <v>148.94999999999999</v>
          </cell>
          <cell r="N428">
            <v>2830.0499999999997</v>
          </cell>
          <cell r="O428">
            <v>0.50501383105008468</v>
          </cell>
          <cell r="P428">
            <v>0.5</v>
          </cell>
          <cell r="Q428">
            <v>135.41</v>
          </cell>
        </row>
        <row r="429">
          <cell r="F429" t="str">
            <v>MBA EM GESTÃO COMERCIAL E MARKETING</v>
          </cell>
          <cell r="G429" t="str">
            <v>Humanas</v>
          </cell>
          <cell r="H429">
            <v>12</v>
          </cell>
          <cell r="I429">
            <v>19</v>
          </cell>
          <cell r="J429">
            <v>207.609666</v>
          </cell>
          <cell r="K429">
            <v>3944.583654</v>
          </cell>
          <cell r="L429">
            <v>0.45</v>
          </cell>
          <cell r="M429">
            <v>102.77</v>
          </cell>
          <cell r="N429">
            <v>1952.6299999999999</v>
          </cell>
          <cell r="O429">
            <v>0.50498451261898381</v>
          </cell>
          <cell r="P429">
            <v>0.5</v>
          </cell>
          <cell r="Q429">
            <v>93.42</v>
          </cell>
        </row>
        <row r="430">
          <cell r="F430" t="str">
            <v>MBA EM GESTÃO DA QUALIDADE E GESTÃO AMBIENTAL</v>
          </cell>
          <cell r="G430" t="str">
            <v>Humanas</v>
          </cell>
          <cell r="H430">
            <v>12</v>
          </cell>
          <cell r="I430">
            <v>19</v>
          </cell>
          <cell r="J430">
            <v>207.609666</v>
          </cell>
          <cell r="K430">
            <v>3944.583654</v>
          </cell>
          <cell r="L430">
            <v>0.45</v>
          </cell>
          <cell r="M430">
            <v>102.77</v>
          </cell>
          <cell r="N430">
            <v>1952.6299999999999</v>
          </cell>
          <cell r="O430">
            <v>0.50498451261898381</v>
          </cell>
          <cell r="P430">
            <v>0.5</v>
          </cell>
          <cell r="Q430">
            <v>93.42</v>
          </cell>
        </row>
        <row r="431">
          <cell r="F431" t="str">
            <v>MBA EM GESTÃO DE EMPRESAS</v>
          </cell>
          <cell r="G431" t="str">
            <v>Humanas</v>
          </cell>
          <cell r="H431">
            <v>6</v>
          </cell>
          <cell r="I431">
            <v>13</v>
          </cell>
          <cell r="J431">
            <v>303.42628200000001</v>
          </cell>
          <cell r="K431">
            <v>3944.5416660000001</v>
          </cell>
          <cell r="L431">
            <v>0.45</v>
          </cell>
          <cell r="M431">
            <v>150.19999999999999</v>
          </cell>
          <cell r="N431">
            <v>1952.6</v>
          </cell>
          <cell r="O431">
            <v>0.50498684883203371</v>
          </cell>
          <cell r="P431">
            <v>0.5</v>
          </cell>
          <cell r="Q431">
            <v>136.54</v>
          </cell>
        </row>
        <row r="432">
          <cell r="F432" t="str">
            <v>MBA EM GESTÃO DE FITNESS E WELLNESS</v>
          </cell>
          <cell r="G432" t="str">
            <v>Saúde</v>
          </cell>
          <cell r="H432">
            <v>12</v>
          </cell>
          <cell r="I432">
            <v>13</v>
          </cell>
          <cell r="J432">
            <v>207.609666</v>
          </cell>
          <cell r="K432">
            <v>2698.9256580000001</v>
          </cell>
          <cell r="L432">
            <v>0.45</v>
          </cell>
          <cell r="M432">
            <v>102.77</v>
          </cell>
          <cell r="N432">
            <v>1336.01</v>
          </cell>
          <cell r="O432">
            <v>0.50498451261898381</v>
          </cell>
          <cell r="P432">
            <v>0.5</v>
          </cell>
          <cell r="Q432">
            <v>93.42</v>
          </cell>
        </row>
        <row r="433">
          <cell r="F433" t="str">
            <v>MBA EM GESTÃO DE NEGÓCIOS DISRUPTIVOS E EXPERIÊNCIA EMPRESARIAL</v>
          </cell>
          <cell r="G433" t="str">
            <v>Exatas</v>
          </cell>
          <cell r="H433">
            <v>6</v>
          </cell>
          <cell r="I433">
            <v>13</v>
          </cell>
          <cell r="J433">
            <v>439.79280900000003</v>
          </cell>
          <cell r="K433">
            <v>5717.3065170000009</v>
          </cell>
          <cell r="L433">
            <v>0.45</v>
          </cell>
          <cell r="M433">
            <v>217.7</v>
          </cell>
          <cell r="N433">
            <v>2830.1</v>
          </cell>
          <cell r="O433">
            <v>0.50499418011175357</v>
          </cell>
          <cell r="P433">
            <v>0.5</v>
          </cell>
          <cell r="Q433">
            <v>197.91</v>
          </cell>
        </row>
        <row r="434">
          <cell r="F434" t="str">
            <v>MBA EM GESTÃO DE NEGÓCIOS EM SERVIÇOS DE ALIMENTAÇÃO</v>
          </cell>
          <cell r="G434" t="str">
            <v>Saúde</v>
          </cell>
          <cell r="H434">
            <v>12</v>
          </cell>
          <cell r="I434">
            <v>19</v>
          </cell>
          <cell r="J434">
            <v>207.609666</v>
          </cell>
          <cell r="K434">
            <v>3944.583654</v>
          </cell>
          <cell r="L434">
            <v>0.45</v>
          </cell>
          <cell r="M434">
            <v>102.77</v>
          </cell>
          <cell r="N434">
            <v>1952.6299999999999</v>
          </cell>
          <cell r="O434">
            <v>0.50498451261898381</v>
          </cell>
          <cell r="P434">
            <v>0.5</v>
          </cell>
          <cell r="Q434">
            <v>93.42</v>
          </cell>
        </row>
        <row r="435">
          <cell r="F435" t="str">
            <v>MBA EM GESTÃO DE NEGÓCIOS PARA GASTRONOMIA</v>
          </cell>
          <cell r="G435" t="str">
            <v>Humanas</v>
          </cell>
          <cell r="H435">
            <v>6</v>
          </cell>
          <cell r="I435">
            <v>13</v>
          </cell>
          <cell r="J435">
            <v>303.42628200000001</v>
          </cell>
          <cell r="K435">
            <v>3944.5416660000001</v>
          </cell>
          <cell r="L435">
            <v>0.45</v>
          </cell>
          <cell r="M435">
            <v>150.19999999999999</v>
          </cell>
          <cell r="N435">
            <v>1952.6</v>
          </cell>
          <cell r="O435">
            <v>0.50498684883203371</v>
          </cell>
          <cell r="P435">
            <v>0.5</v>
          </cell>
          <cell r="Q435">
            <v>136.54</v>
          </cell>
        </row>
        <row r="436">
          <cell r="F436" t="str">
            <v>MBA EM GESTÃO DE PESSOAS</v>
          </cell>
          <cell r="G436" t="str">
            <v>Humanas</v>
          </cell>
          <cell r="H436">
            <v>12</v>
          </cell>
          <cell r="I436">
            <v>19</v>
          </cell>
          <cell r="J436">
            <v>207.609666</v>
          </cell>
          <cell r="K436">
            <v>3944.583654</v>
          </cell>
          <cell r="L436">
            <v>0.45</v>
          </cell>
          <cell r="M436">
            <v>102.77</v>
          </cell>
          <cell r="N436">
            <v>1952.6299999999999</v>
          </cell>
          <cell r="O436">
            <v>0.50498451261898381</v>
          </cell>
          <cell r="P436">
            <v>0.5</v>
          </cell>
          <cell r="Q436">
            <v>93.42</v>
          </cell>
        </row>
        <row r="437">
          <cell r="F437" t="str">
            <v>MBA EM GESTÃO DE PESSOAS E RELAÇÕES TRABALHISTAS</v>
          </cell>
          <cell r="G437" t="str">
            <v>Humanas</v>
          </cell>
          <cell r="H437">
            <v>12</v>
          </cell>
          <cell r="I437">
            <v>19</v>
          </cell>
          <cell r="J437">
            <v>207.609666</v>
          </cell>
          <cell r="K437">
            <v>3944.583654</v>
          </cell>
          <cell r="L437">
            <v>0.45</v>
          </cell>
          <cell r="M437">
            <v>102.77</v>
          </cell>
          <cell r="N437">
            <v>1952.6299999999999</v>
          </cell>
          <cell r="O437">
            <v>0.50498451261898381</v>
          </cell>
          <cell r="P437">
            <v>0.5</v>
          </cell>
          <cell r="Q437">
            <v>93.42</v>
          </cell>
        </row>
        <row r="438">
          <cell r="F438" t="str">
            <v>MBA EM GESTÃO DE PROJETOS</v>
          </cell>
          <cell r="G438" t="str">
            <v>Humanas</v>
          </cell>
          <cell r="H438">
            <v>12</v>
          </cell>
          <cell r="I438">
            <v>19</v>
          </cell>
          <cell r="J438">
            <v>207.609666</v>
          </cell>
          <cell r="K438">
            <v>3944.583654</v>
          </cell>
          <cell r="L438">
            <v>0.45</v>
          </cell>
          <cell r="M438">
            <v>102.77</v>
          </cell>
          <cell r="N438">
            <v>1952.6299999999999</v>
          </cell>
          <cell r="O438">
            <v>0.50498451261898381</v>
          </cell>
          <cell r="P438">
            <v>0.5</v>
          </cell>
          <cell r="Q438">
            <v>93.42</v>
          </cell>
        </row>
        <row r="439">
          <cell r="F439" t="str">
            <v>MBA EM GESTÃO DE RELAÇÕES TRABALHISTAS</v>
          </cell>
          <cell r="G439" t="str">
            <v>Humanas</v>
          </cell>
          <cell r="H439">
            <v>6</v>
          </cell>
          <cell r="I439">
            <v>13</v>
          </cell>
          <cell r="J439">
            <v>303.42628200000001</v>
          </cell>
          <cell r="K439">
            <v>3944.5416660000001</v>
          </cell>
          <cell r="L439">
            <v>0.45</v>
          </cell>
          <cell r="M439">
            <v>150.19999999999999</v>
          </cell>
          <cell r="N439">
            <v>1952.6</v>
          </cell>
          <cell r="O439">
            <v>0.50498684883203371</v>
          </cell>
          <cell r="P439">
            <v>0.5</v>
          </cell>
          <cell r="Q439">
            <v>136.54</v>
          </cell>
        </row>
        <row r="440">
          <cell r="F440" t="str">
            <v>MBA EM GESTÃO DE TECNOLOGIAS DISRUPTIVAS E AUTOMAÇÃO DE PROCESSOS</v>
          </cell>
          <cell r="G440" t="str">
            <v>Exatas</v>
          </cell>
          <cell r="H440">
            <v>6</v>
          </cell>
          <cell r="I440">
            <v>13</v>
          </cell>
          <cell r="J440">
            <v>439.79280900000003</v>
          </cell>
          <cell r="K440">
            <v>5717.3065170000009</v>
          </cell>
          <cell r="L440">
            <v>0.45</v>
          </cell>
          <cell r="M440">
            <v>217.7</v>
          </cell>
          <cell r="N440">
            <v>2830.1</v>
          </cell>
          <cell r="O440">
            <v>0.50499418011175357</v>
          </cell>
          <cell r="P440">
            <v>0.5</v>
          </cell>
          <cell r="Q440">
            <v>197.91</v>
          </cell>
        </row>
        <row r="441">
          <cell r="F441" t="str">
            <v>MBA EM GESTÃO E CONSULTORIA EMPRESARIAL</v>
          </cell>
          <cell r="G441" t="str">
            <v>Humanas</v>
          </cell>
          <cell r="H441">
            <v>6</v>
          </cell>
          <cell r="I441">
            <v>13</v>
          </cell>
          <cell r="J441">
            <v>303.42628200000001</v>
          </cell>
          <cell r="K441">
            <v>3944.5416660000001</v>
          </cell>
          <cell r="L441">
            <v>0.45</v>
          </cell>
          <cell r="M441">
            <v>150.19999999999999</v>
          </cell>
          <cell r="N441">
            <v>1952.6</v>
          </cell>
          <cell r="O441">
            <v>0.50498684883203371</v>
          </cell>
          <cell r="P441">
            <v>0.5</v>
          </cell>
          <cell r="Q441">
            <v>136.54</v>
          </cell>
        </row>
        <row r="442">
          <cell r="F442" t="str">
            <v>MBA EM GESTÃO E CONSULTORIA ORGANIZACIONAL</v>
          </cell>
          <cell r="G442" t="str">
            <v>Humanas</v>
          </cell>
          <cell r="H442">
            <v>12</v>
          </cell>
          <cell r="I442">
            <v>19</v>
          </cell>
          <cell r="J442">
            <v>207.609666</v>
          </cell>
          <cell r="K442">
            <v>3944.583654</v>
          </cell>
          <cell r="L442">
            <v>0.45</v>
          </cell>
          <cell r="M442">
            <v>102.77</v>
          </cell>
          <cell r="N442">
            <v>1952.6299999999999</v>
          </cell>
          <cell r="O442">
            <v>0.50498451261898381</v>
          </cell>
          <cell r="P442">
            <v>0.5</v>
          </cell>
          <cell r="Q442">
            <v>93.42</v>
          </cell>
        </row>
        <row r="443">
          <cell r="F443" t="str">
            <v>MBA EM GESTÃO EM UNIDADES HOSPITALARES</v>
          </cell>
          <cell r="G443" t="str">
            <v>Humanas</v>
          </cell>
          <cell r="H443">
            <v>6</v>
          </cell>
          <cell r="I443">
            <v>13</v>
          </cell>
          <cell r="J443">
            <v>303.42628200000001</v>
          </cell>
          <cell r="K443">
            <v>3944.5416660000001</v>
          </cell>
          <cell r="L443">
            <v>0.45</v>
          </cell>
          <cell r="M443">
            <v>150.19999999999999</v>
          </cell>
          <cell r="N443">
            <v>1952.6</v>
          </cell>
          <cell r="O443">
            <v>0.50498684883203371</v>
          </cell>
          <cell r="P443">
            <v>0.5</v>
          </cell>
          <cell r="Q443">
            <v>136.54</v>
          </cell>
        </row>
        <row r="444">
          <cell r="F444" t="str">
            <v>MBA EM GESTÃO EMPREENDEDORA</v>
          </cell>
          <cell r="G444" t="str">
            <v>Humanas</v>
          </cell>
          <cell r="H444">
            <v>6</v>
          </cell>
          <cell r="I444">
            <v>13</v>
          </cell>
          <cell r="J444">
            <v>303.42628200000001</v>
          </cell>
          <cell r="K444">
            <v>3944.5416660000001</v>
          </cell>
          <cell r="L444">
            <v>0.45</v>
          </cell>
          <cell r="M444">
            <v>150.19999999999999</v>
          </cell>
          <cell r="N444">
            <v>1952.6</v>
          </cell>
          <cell r="O444">
            <v>0.50498684883203371</v>
          </cell>
          <cell r="P444">
            <v>0.5</v>
          </cell>
          <cell r="Q444">
            <v>136.54</v>
          </cell>
        </row>
        <row r="445">
          <cell r="F445" t="str">
            <v>MBA EM GESTÃO EMPRESARIAL</v>
          </cell>
          <cell r="G445" t="str">
            <v>Humanas</v>
          </cell>
          <cell r="H445">
            <v>12</v>
          </cell>
          <cell r="I445">
            <v>19</v>
          </cell>
          <cell r="J445">
            <v>207.609666</v>
          </cell>
          <cell r="K445">
            <v>3944.583654</v>
          </cell>
          <cell r="L445">
            <v>0.45</v>
          </cell>
          <cell r="M445">
            <v>102.77</v>
          </cell>
          <cell r="N445">
            <v>1952.6299999999999</v>
          </cell>
          <cell r="O445">
            <v>0.50498451261898381</v>
          </cell>
          <cell r="P445">
            <v>0.5</v>
          </cell>
          <cell r="Q445">
            <v>93.42</v>
          </cell>
        </row>
        <row r="446">
          <cell r="F446" t="str">
            <v>MBA EM GESTÃO HOSPITALAR</v>
          </cell>
          <cell r="G446" t="str">
            <v>Saúde</v>
          </cell>
          <cell r="H446">
            <v>12</v>
          </cell>
          <cell r="I446">
            <v>19</v>
          </cell>
          <cell r="J446">
            <v>207.609666</v>
          </cell>
          <cell r="K446">
            <v>3944.583654</v>
          </cell>
          <cell r="L446">
            <v>0.45</v>
          </cell>
          <cell r="M446">
            <v>102.77</v>
          </cell>
          <cell r="N446">
            <v>1952.6299999999999</v>
          </cell>
          <cell r="O446">
            <v>0.50498451261898381</v>
          </cell>
          <cell r="P446">
            <v>0.5</v>
          </cell>
          <cell r="Q446">
            <v>93.42</v>
          </cell>
        </row>
        <row r="447">
          <cell r="F447" t="str">
            <v>MBA EM GESTÃO PÚBLICA</v>
          </cell>
          <cell r="G447" t="str">
            <v>Humanas</v>
          </cell>
          <cell r="H447">
            <v>12</v>
          </cell>
          <cell r="I447">
            <v>19</v>
          </cell>
          <cell r="J447">
            <v>207.609666</v>
          </cell>
          <cell r="K447">
            <v>3944.583654</v>
          </cell>
          <cell r="L447">
            <v>0.45</v>
          </cell>
          <cell r="M447">
            <v>102.77</v>
          </cell>
          <cell r="N447">
            <v>1952.6299999999999</v>
          </cell>
          <cell r="O447">
            <v>0.50498451261898381</v>
          </cell>
          <cell r="P447">
            <v>0.5</v>
          </cell>
          <cell r="Q447">
            <v>93.42</v>
          </cell>
        </row>
        <row r="448">
          <cell r="F448" t="str">
            <v>MBA EM GESTÃO TECNOLÓGICA BIG DATA E INTELIGÊNCIA ARTIFICIAL</v>
          </cell>
          <cell r="G448" t="str">
            <v>Exatas</v>
          </cell>
          <cell r="H448">
            <v>6</v>
          </cell>
          <cell r="I448">
            <v>13</v>
          </cell>
          <cell r="J448">
            <v>439.79280900000003</v>
          </cell>
          <cell r="K448">
            <v>5717.3065170000009</v>
          </cell>
          <cell r="L448">
            <v>0.45</v>
          </cell>
          <cell r="M448">
            <v>217.7</v>
          </cell>
          <cell r="N448">
            <v>2830.1</v>
          </cell>
          <cell r="O448">
            <v>0.50499418011175357</v>
          </cell>
          <cell r="P448">
            <v>0.5</v>
          </cell>
          <cell r="Q448">
            <v>197.91</v>
          </cell>
        </row>
        <row r="449">
          <cell r="F449" t="str">
            <v>MBA EM GOVERNANÇA CORPORATIVA</v>
          </cell>
          <cell r="G449" t="str">
            <v>Negócios</v>
          </cell>
          <cell r="H449">
            <v>12</v>
          </cell>
          <cell r="I449">
            <v>19</v>
          </cell>
          <cell r="J449">
            <v>207.609666</v>
          </cell>
          <cell r="K449">
            <v>3944.583654</v>
          </cell>
          <cell r="L449">
            <v>0.45</v>
          </cell>
          <cell r="M449">
            <v>102.77</v>
          </cell>
          <cell r="N449">
            <v>1952.6299999999999</v>
          </cell>
          <cell r="O449">
            <v>0.50498451261898381</v>
          </cell>
          <cell r="P449">
            <v>0.5</v>
          </cell>
          <cell r="Q449">
            <v>93.42</v>
          </cell>
        </row>
        <row r="450">
          <cell r="F450" t="str">
            <v>MBA EM GOVERNANÇA EMPRESARIAL</v>
          </cell>
          <cell r="G450" t="str">
            <v>Humanas</v>
          </cell>
          <cell r="H450">
            <v>6</v>
          </cell>
          <cell r="I450">
            <v>13</v>
          </cell>
          <cell r="J450">
            <v>303.42628200000001</v>
          </cell>
          <cell r="K450">
            <v>3944.5416660000001</v>
          </cell>
          <cell r="L450">
            <v>0.45</v>
          </cell>
          <cell r="M450">
            <v>150.19999999999999</v>
          </cell>
          <cell r="N450">
            <v>1952.6</v>
          </cell>
          <cell r="O450">
            <v>0.50498684883203371</v>
          </cell>
          <cell r="P450">
            <v>0.5</v>
          </cell>
          <cell r="Q450">
            <v>136.54</v>
          </cell>
        </row>
        <row r="451">
          <cell r="F451" t="str">
            <v>MBA EM LGPD E COMPLIANCE DIGITAL</v>
          </cell>
          <cell r="G451" t="str">
            <v>Negócios</v>
          </cell>
          <cell r="H451">
            <v>12</v>
          </cell>
          <cell r="I451">
            <v>19</v>
          </cell>
          <cell r="J451">
            <v>300.91749900000002</v>
          </cell>
          <cell r="K451">
            <v>5717.4324810000007</v>
          </cell>
          <cell r="L451">
            <v>0.45</v>
          </cell>
          <cell r="M451">
            <v>148.94999999999999</v>
          </cell>
          <cell r="N451">
            <v>2830.0499999999997</v>
          </cell>
          <cell r="O451">
            <v>0.50501383105008468</v>
          </cell>
          <cell r="P451">
            <v>0.5</v>
          </cell>
          <cell r="Q451">
            <v>135.41</v>
          </cell>
        </row>
        <row r="452">
          <cell r="F452" t="str">
            <v>MBA EM LIDERANÇA E COACHING</v>
          </cell>
          <cell r="G452" t="str">
            <v>Negócios</v>
          </cell>
          <cell r="H452">
            <v>12</v>
          </cell>
          <cell r="I452">
            <v>19</v>
          </cell>
          <cell r="J452">
            <v>207.609666</v>
          </cell>
          <cell r="K452">
            <v>3944.583654</v>
          </cell>
          <cell r="L452">
            <v>0.45</v>
          </cell>
          <cell r="M452">
            <v>102.77</v>
          </cell>
          <cell r="N452">
            <v>1952.6299999999999</v>
          </cell>
          <cell r="O452">
            <v>0.50498451261898381</v>
          </cell>
          <cell r="P452">
            <v>0.5</v>
          </cell>
          <cell r="Q452">
            <v>93.42</v>
          </cell>
        </row>
        <row r="453">
          <cell r="F453" t="str">
            <v>MBA EM LOGÍSTICA EMPRESARIAL</v>
          </cell>
          <cell r="G453" t="str">
            <v>Humanas</v>
          </cell>
          <cell r="H453">
            <v>12</v>
          </cell>
          <cell r="I453">
            <v>19</v>
          </cell>
          <cell r="J453">
            <v>207.609666</v>
          </cell>
          <cell r="K453">
            <v>3944.583654</v>
          </cell>
          <cell r="L453">
            <v>0.45</v>
          </cell>
          <cell r="M453">
            <v>102.77</v>
          </cell>
          <cell r="N453">
            <v>1952.6299999999999</v>
          </cell>
          <cell r="O453">
            <v>0.50498451261898381</v>
          </cell>
          <cell r="P453">
            <v>0.5</v>
          </cell>
          <cell r="Q453">
            <v>93.42</v>
          </cell>
        </row>
        <row r="454">
          <cell r="F454" t="str">
            <v>MBA EM LOGÍSTICA NAS ORGANIZAÇÕES</v>
          </cell>
          <cell r="G454" t="str">
            <v>Humanas</v>
          </cell>
          <cell r="H454">
            <v>6</v>
          </cell>
          <cell r="I454">
            <v>13</v>
          </cell>
          <cell r="J454">
            <v>303.42628200000001</v>
          </cell>
          <cell r="K454">
            <v>3944.5416660000001</v>
          </cell>
          <cell r="L454">
            <v>0.45</v>
          </cell>
          <cell r="M454">
            <v>150.19999999999999</v>
          </cell>
          <cell r="N454">
            <v>1952.6</v>
          </cell>
          <cell r="O454">
            <v>0.50498684883203371</v>
          </cell>
          <cell r="P454">
            <v>0.5</v>
          </cell>
          <cell r="Q454">
            <v>136.54</v>
          </cell>
        </row>
        <row r="455">
          <cell r="F455" t="str">
            <v>MBA EM MARKETING E VENDAS</v>
          </cell>
          <cell r="G455" t="str">
            <v>Humanas</v>
          </cell>
          <cell r="H455">
            <v>6</v>
          </cell>
          <cell r="I455">
            <v>13</v>
          </cell>
          <cell r="J455">
            <v>303.42628200000001</v>
          </cell>
          <cell r="K455">
            <v>3944.5416660000001</v>
          </cell>
          <cell r="L455">
            <v>0.45</v>
          </cell>
          <cell r="M455">
            <v>150.19999999999999</v>
          </cell>
          <cell r="N455">
            <v>1952.6</v>
          </cell>
          <cell r="O455">
            <v>0.50498684883203371</v>
          </cell>
          <cell r="P455">
            <v>0.5</v>
          </cell>
          <cell r="Q455">
            <v>136.54</v>
          </cell>
        </row>
        <row r="456">
          <cell r="F456" t="str">
            <v>MBA EM MEIO AMBIENTE E GESTÃO DA QUALIDADE</v>
          </cell>
          <cell r="G456" t="str">
            <v>Humanas</v>
          </cell>
          <cell r="H456">
            <v>6</v>
          </cell>
          <cell r="I456">
            <v>13</v>
          </cell>
          <cell r="J456">
            <v>303.42628200000001</v>
          </cell>
          <cell r="K456">
            <v>3944.5416660000001</v>
          </cell>
          <cell r="L456">
            <v>0.45</v>
          </cell>
          <cell r="M456">
            <v>150.19999999999999</v>
          </cell>
          <cell r="N456">
            <v>1952.6</v>
          </cell>
          <cell r="O456">
            <v>0.50498684883203371</v>
          </cell>
          <cell r="P456">
            <v>0.5</v>
          </cell>
          <cell r="Q456">
            <v>136.54</v>
          </cell>
        </row>
        <row r="457">
          <cell r="F457" t="str">
            <v>MBA EM NEGÓCIOS DISRUPTIVOS E BUSINESS EXPERIENCE</v>
          </cell>
          <cell r="G457" t="str">
            <v>Negócios</v>
          </cell>
          <cell r="H457">
            <v>12</v>
          </cell>
          <cell r="I457">
            <v>19</v>
          </cell>
          <cell r="J457">
            <v>300.91749900000002</v>
          </cell>
          <cell r="K457">
            <v>5717.4324810000007</v>
          </cell>
          <cell r="L457">
            <v>0.45</v>
          </cell>
          <cell r="M457">
            <v>148.94999999999999</v>
          </cell>
          <cell r="N457">
            <v>2830.0499999999997</v>
          </cell>
          <cell r="O457">
            <v>0.50501383105008468</v>
          </cell>
          <cell r="P457">
            <v>0.5</v>
          </cell>
          <cell r="Q457">
            <v>135.41</v>
          </cell>
        </row>
        <row r="458">
          <cell r="F458" t="str">
            <v>MBA EM RECURSOS HUMANOS</v>
          </cell>
          <cell r="G458" t="str">
            <v>Humanas</v>
          </cell>
          <cell r="H458">
            <v>6</v>
          </cell>
          <cell r="I458">
            <v>13</v>
          </cell>
          <cell r="J458">
            <v>303.42628200000001</v>
          </cell>
          <cell r="K458">
            <v>3944.5416660000001</v>
          </cell>
          <cell r="L458">
            <v>0.45</v>
          </cell>
          <cell r="M458">
            <v>150.19999999999999</v>
          </cell>
          <cell r="N458">
            <v>1952.6</v>
          </cell>
          <cell r="O458">
            <v>0.50498684883203371</v>
          </cell>
          <cell r="P458">
            <v>0.5</v>
          </cell>
          <cell r="Q458">
            <v>136.54</v>
          </cell>
        </row>
        <row r="459">
          <cell r="F459" t="str">
            <v>MBA EM SAÚDE 5.0: INOVAÇÃO EM SAÚDE</v>
          </cell>
          <cell r="G459" t="str">
            <v>Saúde</v>
          </cell>
          <cell r="H459">
            <v>12</v>
          </cell>
          <cell r="I459">
            <v>19</v>
          </cell>
          <cell r="J459">
            <v>300.91749900000002</v>
          </cell>
          <cell r="K459">
            <v>5717.4324810000007</v>
          </cell>
          <cell r="L459">
            <v>0.45</v>
          </cell>
          <cell r="M459">
            <v>148.94999999999999</v>
          </cell>
          <cell r="N459">
            <v>2830.0499999999997</v>
          </cell>
          <cell r="O459">
            <v>0.50501383105008468</v>
          </cell>
          <cell r="P459">
            <v>0.5</v>
          </cell>
          <cell r="Q459">
            <v>135.41</v>
          </cell>
        </row>
        <row r="460">
          <cell r="F460" t="str">
            <v>MBA EM SAÚDE 5.0: TECNOLOGIA EM SAÚDE</v>
          </cell>
          <cell r="G460" t="str">
            <v>Saúde</v>
          </cell>
          <cell r="H460">
            <v>6</v>
          </cell>
          <cell r="I460">
            <v>13</v>
          </cell>
          <cell r="J460">
            <v>439.79280900000003</v>
          </cell>
          <cell r="K460">
            <v>5717.3065170000009</v>
          </cell>
          <cell r="L460">
            <v>0.45</v>
          </cell>
          <cell r="M460">
            <v>217.7</v>
          </cell>
          <cell r="N460">
            <v>2830.1</v>
          </cell>
          <cell r="O460">
            <v>0.50499418011175357</v>
          </cell>
          <cell r="P460">
            <v>0.5</v>
          </cell>
          <cell r="Q460">
            <v>197.91</v>
          </cell>
        </row>
        <row r="461">
          <cell r="F461" t="str">
            <v>MBA EM TECNOLOGIAS PARA GESTÃO: BIG DATA E INTELIGÊNCIA ARTIFICIAL</v>
          </cell>
          <cell r="G461" t="str">
            <v>Negócios</v>
          </cell>
          <cell r="H461">
            <v>12</v>
          </cell>
          <cell r="I461">
            <v>19</v>
          </cell>
          <cell r="J461">
            <v>300.91749900000002</v>
          </cell>
          <cell r="K461">
            <v>5717.4324810000007</v>
          </cell>
          <cell r="L461">
            <v>0.45</v>
          </cell>
          <cell r="M461">
            <v>148.94999999999999</v>
          </cell>
          <cell r="N461">
            <v>2830.0499999999997</v>
          </cell>
          <cell r="O461">
            <v>0.50501383105008468</v>
          </cell>
          <cell r="P461">
            <v>0.5</v>
          </cell>
          <cell r="Q461">
            <v>135.41</v>
          </cell>
        </row>
        <row r="463">
          <cell r="F463" t="str">
            <v>ESPECIALIZAÇÃO EM ADMINISTRAÇÃO DE CONTRATOS PÚBLICOS</v>
          </cell>
          <cell r="G463" t="str">
            <v>Humanas</v>
          </cell>
          <cell r="H463">
            <v>6</v>
          </cell>
          <cell r="I463">
            <v>13</v>
          </cell>
          <cell r="J463">
            <v>269.33202599999998</v>
          </cell>
          <cell r="K463">
            <v>3501.3163379999996</v>
          </cell>
          <cell r="L463">
            <v>0.45</v>
          </cell>
          <cell r="M463">
            <v>133.32</v>
          </cell>
          <cell r="N463">
            <v>1733.1599999999999</v>
          </cell>
          <cell r="O463">
            <v>0.50499759727794125</v>
          </cell>
          <cell r="P463">
            <v>0.5</v>
          </cell>
          <cell r="Q463">
            <v>121.2</v>
          </cell>
        </row>
        <row r="464">
          <cell r="F464" t="str">
            <v>ESPECIALIZAÇÃO EM ADMINISTRAÇÃO DE DEPARTAMENTO PESSOAL</v>
          </cell>
          <cell r="G464" t="str">
            <v>Negócios</v>
          </cell>
          <cell r="H464">
            <v>12</v>
          </cell>
          <cell r="I464">
            <v>19</v>
          </cell>
          <cell r="J464">
            <v>184.28091221052631</v>
          </cell>
          <cell r="K464">
            <v>3501.3373320000001</v>
          </cell>
          <cell r="L464">
            <v>0.45</v>
          </cell>
          <cell r="M464">
            <v>91.22</v>
          </cell>
          <cell r="N464">
            <v>1733.18</v>
          </cell>
          <cell r="O464">
            <v>0.50499485320656334</v>
          </cell>
          <cell r="P464">
            <v>0.5</v>
          </cell>
          <cell r="Q464">
            <v>82.93</v>
          </cell>
        </row>
        <row r="465">
          <cell r="F465" t="str">
            <v>ESPECIALIZAÇÃO EM ADMINISTRAÇÃO DE PROTEÇÃO DE DADOS</v>
          </cell>
          <cell r="G465" t="str">
            <v>Exatas</v>
          </cell>
          <cell r="H465">
            <v>6</v>
          </cell>
          <cell r="I465">
            <v>13</v>
          </cell>
          <cell r="J465">
            <v>405.70905000000005</v>
          </cell>
          <cell r="K465">
            <v>5274.2176500000005</v>
          </cell>
          <cell r="L465">
            <v>0.45</v>
          </cell>
          <cell r="M465">
            <v>200.83</v>
          </cell>
          <cell r="N465">
            <v>2610.79</v>
          </cell>
          <cell r="O465">
            <v>0.50499009080522117</v>
          </cell>
          <cell r="P465">
            <v>0.5</v>
          </cell>
          <cell r="Q465">
            <v>182.57</v>
          </cell>
        </row>
        <row r="466">
          <cell r="F466" t="str">
            <v>ESPECIALIZAÇÃO EM ADMINISTRAÇÃO EM SAÚDE PÚBLICA</v>
          </cell>
          <cell r="G466" t="str">
            <v>Humanas</v>
          </cell>
          <cell r="H466">
            <v>6</v>
          </cell>
          <cell r="I466">
            <v>13</v>
          </cell>
          <cell r="J466">
            <v>405.70905000000005</v>
          </cell>
          <cell r="K466">
            <v>5274.2176500000005</v>
          </cell>
          <cell r="L466">
            <v>0.45</v>
          </cell>
          <cell r="M466">
            <v>200.83</v>
          </cell>
          <cell r="N466">
            <v>2610.79</v>
          </cell>
          <cell r="O466">
            <v>0.50499009080522117</v>
          </cell>
          <cell r="P466">
            <v>0.5</v>
          </cell>
          <cell r="Q466">
            <v>182.57</v>
          </cell>
        </row>
        <row r="467">
          <cell r="F467" t="str">
            <v>ESPECIALIZAÇÃO EM ADMINISTRAÇÃO PÚBLICA E DIREITO PÚBLICO</v>
          </cell>
          <cell r="G467" t="str">
            <v>Humanas</v>
          </cell>
          <cell r="H467">
            <v>6</v>
          </cell>
          <cell r="I467">
            <v>13</v>
          </cell>
          <cell r="J467">
            <v>405.70905000000005</v>
          </cell>
          <cell r="K467">
            <v>5274.2176500000005</v>
          </cell>
          <cell r="L467">
            <v>0.45</v>
          </cell>
          <cell r="M467">
            <v>200.83</v>
          </cell>
          <cell r="N467">
            <v>2610.79</v>
          </cell>
          <cell r="O467">
            <v>0.50499009080522117</v>
          </cell>
          <cell r="P467">
            <v>0.5</v>
          </cell>
          <cell r="Q467">
            <v>182.57</v>
          </cell>
        </row>
        <row r="468">
          <cell r="F468" t="str">
            <v>ESPECIALIZAÇÃO EM ALFABETIZAÇÃO E LETRAMENTO</v>
          </cell>
          <cell r="G468" t="str">
            <v>Humanas</v>
          </cell>
          <cell r="H468">
            <v>12</v>
          </cell>
          <cell r="I468">
            <v>19</v>
          </cell>
          <cell r="J468">
            <v>184.28091221052631</v>
          </cell>
          <cell r="K468">
            <v>3501.3373320000001</v>
          </cell>
          <cell r="L468">
            <v>0.45</v>
          </cell>
          <cell r="M468">
            <v>91.22</v>
          </cell>
          <cell r="N468">
            <v>1733.18</v>
          </cell>
          <cell r="O468">
            <v>0.50499485320656334</v>
          </cell>
          <cell r="P468">
            <v>0.5</v>
          </cell>
          <cell r="Q468">
            <v>82.93</v>
          </cell>
        </row>
        <row r="469">
          <cell r="F469" t="str">
            <v>ESPECIALIZAÇÃO EM ANÁLISES CLÍNICAS</v>
          </cell>
          <cell r="G469" t="str">
            <v>Saúde</v>
          </cell>
          <cell r="H469">
            <v>12</v>
          </cell>
          <cell r="I469">
            <v>19</v>
          </cell>
          <cell r="J469">
            <v>277.58266800000001</v>
          </cell>
          <cell r="K469">
            <v>5274.0706920000002</v>
          </cell>
          <cell r="L469">
            <v>0.45</v>
          </cell>
          <cell r="M469">
            <v>137.4</v>
          </cell>
          <cell r="N469">
            <v>2610.6</v>
          </cell>
          <cell r="O469">
            <v>0.50501232303163834</v>
          </cell>
          <cell r="P469">
            <v>0.5</v>
          </cell>
          <cell r="Q469">
            <v>124.91</v>
          </cell>
        </row>
        <row r="470">
          <cell r="F470" t="str">
            <v>ESPECIALIZAÇÃO EM ANÁLISES CLÍNICAS E DIAGNÓSTICO LABORATORIAL</v>
          </cell>
          <cell r="G470" t="str">
            <v>Saúde</v>
          </cell>
          <cell r="H470">
            <v>12</v>
          </cell>
          <cell r="I470">
            <v>19</v>
          </cell>
          <cell r="J470">
            <v>277.58266800000001</v>
          </cell>
          <cell r="K470">
            <v>5274.0706920000002</v>
          </cell>
          <cell r="L470">
            <v>0.45</v>
          </cell>
          <cell r="M470">
            <v>137.4</v>
          </cell>
          <cell r="N470">
            <v>2610.6</v>
          </cell>
          <cell r="O470">
            <v>0.50501232303163834</v>
          </cell>
          <cell r="P470">
            <v>0.5</v>
          </cell>
          <cell r="Q470">
            <v>124.91</v>
          </cell>
        </row>
        <row r="471">
          <cell r="F471" t="str">
            <v>ESPECIALIZAÇÃO EM ANÁLISES CLÍNICAS E TOXICOLÓGICAS</v>
          </cell>
          <cell r="G471" t="str">
            <v>Saúde</v>
          </cell>
          <cell r="H471">
            <v>6</v>
          </cell>
          <cell r="I471">
            <v>13</v>
          </cell>
          <cell r="J471">
            <v>405.70905000000005</v>
          </cell>
          <cell r="K471">
            <v>5274.2176500000005</v>
          </cell>
          <cell r="L471">
            <v>0.45</v>
          </cell>
          <cell r="M471">
            <v>200.83</v>
          </cell>
          <cell r="N471">
            <v>2610.79</v>
          </cell>
          <cell r="O471">
            <v>0.50499009080522117</v>
          </cell>
          <cell r="P471">
            <v>0.5</v>
          </cell>
          <cell r="Q471">
            <v>182.57</v>
          </cell>
        </row>
        <row r="472">
          <cell r="F472" t="str">
            <v>ESPECIALIZAÇÃO EM ANTROPOLOGIA E FUNDAMENTOS DA EDUCAÇÃO SOCIAL</v>
          </cell>
          <cell r="G472" t="str">
            <v>Humanas</v>
          </cell>
          <cell r="H472">
            <v>12</v>
          </cell>
          <cell r="I472">
            <v>19</v>
          </cell>
          <cell r="J472">
            <v>184.28091221052631</v>
          </cell>
          <cell r="K472">
            <v>3501.3373320000001</v>
          </cell>
          <cell r="L472">
            <v>0.45</v>
          </cell>
          <cell r="M472">
            <v>91.22</v>
          </cell>
          <cell r="N472">
            <v>1733.18</v>
          </cell>
          <cell r="O472">
            <v>0.50499485320656334</v>
          </cell>
          <cell r="P472">
            <v>0.5</v>
          </cell>
          <cell r="Q472">
            <v>82.93</v>
          </cell>
        </row>
        <row r="473">
          <cell r="F473" t="str">
            <v>ESPECIALIZAÇÃO EM ARQUITETURA DE CLOUD COMPUTING</v>
          </cell>
          <cell r="G473" t="str">
            <v>Negócios</v>
          </cell>
          <cell r="H473">
            <v>12</v>
          </cell>
          <cell r="I473">
            <v>19</v>
          </cell>
          <cell r="J473">
            <v>277.58266800000001</v>
          </cell>
          <cell r="K473">
            <v>5274.0706920000002</v>
          </cell>
          <cell r="L473">
            <v>0.45</v>
          </cell>
          <cell r="M473">
            <v>137.4</v>
          </cell>
          <cell r="N473">
            <v>2610.6</v>
          </cell>
          <cell r="O473">
            <v>0.50501232303163834</v>
          </cell>
          <cell r="P473">
            <v>0.5</v>
          </cell>
          <cell r="Q473">
            <v>124.91</v>
          </cell>
        </row>
        <row r="474">
          <cell r="F474" t="str">
            <v>ESPECIALIZAÇÃO EM ARQUITETURA DE COMPUTAÇÃO EM NUVEM</v>
          </cell>
          <cell r="G474" t="str">
            <v>Exatas</v>
          </cell>
          <cell r="H474">
            <v>6</v>
          </cell>
          <cell r="I474">
            <v>13</v>
          </cell>
          <cell r="J474">
            <v>405.70905000000005</v>
          </cell>
          <cell r="K474">
            <v>5274.2176500000005</v>
          </cell>
          <cell r="L474">
            <v>0.45</v>
          </cell>
          <cell r="M474">
            <v>200.83</v>
          </cell>
          <cell r="N474">
            <v>2610.79</v>
          </cell>
          <cell r="O474">
            <v>0.50499009080522117</v>
          </cell>
          <cell r="P474">
            <v>0.5</v>
          </cell>
          <cell r="Q474">
            <v>182.57</v>
          </cell>
        </row>
        <row r="475">
          <cell r="F475" t="str">
            <v>ESPECIALIZAÇÃO EM AUDITORIA DA QUALIDADE</v>
          </cell>
          <cell r="G475" t="str">
            <v>Humanas</v>
          </cell>
          <cell r="H475">
            <v>12</v>
          </cell>
          <cell r="I475">
            <v>19</v>
          </cell>
          <cell r="J475">
            <v>184.28091221052631</v>
          </cell>
          <cell r="K475">
            <v>3501.3373320000001</v>
          </cell>
          <cell r="L475">
            <v>0.45</v>
          </cell>
          <cell r="M475">
            <v>91.22</v>
          </cell>
          <cell r="N475">
            <v>1733.18</v>
          </cell>
          <cell r="O475">
            <v>0.50499485320656334</v>
          </cell>
          <cell r="P475">
            <v>0.5</v>
          </cell>
          <cell r="Q475">
            <v>82.93</v>
          </cell>
        </row>
        <row r="476">
          <cell r="F476" t="str">
            <v>ESPECIALIZAÇÃO EM AULAS ON-LINE PARA EDUCAÇÃO BÁSICA</v>
          </cell>
          <cell r="G476" t="str">
            <v>Humanas</v>
          </cell>
          <cell r="H476">
            <v>4</v>
          </cell>
          <cell r="I476">
            <v>7</v>
          </cell>
          <cell r="J476">
            <v>269.33202599999998</v>
          </cell>
          <cell r="K476">
            <v>1885.3241819999998</v>
          </cell>
          <cell r="L476">
            <v>0.45</v>
          </cell>
          <cell r="M476">
            <v>133.32</v>
          </cell>
          <cell r="N476">
            <v>933.24</v>
          </cell>
          <cell r="O476">
            <v>0.50499759727794125</v>
          </cell>
          <cell r="P476">
            <v>0.5</v>
          </cell>
          <cell r="Q476">
            <v>121.2</v>
          </cell>
        </row>
        <row r="477">
          <cell r="F477" t="str">
            <v>ESPECIALIZAÇÃO EM CIBERSEGURANÇA: MONITORAMENTO E PROTEÇÃO DIGITAL DE NEGÓCIOS</v>
          </cell>
          <cell r="G477" t="str">
            <v>Negócios</v>
          </cell>
          <cell r="H477">
            <v>12</v>
          </cell>
          <cell r="I477">
            <v>19</v>
          </cell>
          <cell r="J477">
            <v>277.58266800000001</v>
          </cell>
          <cell r="K477">
            <v>5274.0706920000002</v>
          </cell>
          <cell r="L477">
            <v>0.45</v>
          </cell>
          <cell r="M477">
            <v>137.4</v>
          </cell>
          <cell r="N477">
            <v>2610.6</v>
          </cell>
          <cell r="O477">
            <v>0.50501232303163834</v>
          </cell>
          <cell r="P477">
            <v>0.5</v>
          </cell>
          <cell r="Q477">
            <v>124.91</v>
          </cell>
        </row>
        <row r="478">
          <cell r="F478" t="str">
            <v>ESPECIALIZAÇÃO EM CIÊNCIAS DE DADOS</v>
          </cell>
          <cell r="G478" t="str">
            <v>Exatas</v>
          </cell>
          <cell r="H478">
            <v>6</v>
          </cell>
          <cell r="I478">
            <v>13</v>
          </cell>
          <cell r="J478">
            <v>269.33202599999998</v>
          </cell>
          <cell r="K478">
            <v>3501.3163379999996</v>
          </cell>
          <cell r="L478">
            <v>0.45</v>
          </cell>
          <cell r="M478">
            <v>133.32</v>
          </cell>
          <cell r="N478">
            <v>1733.1599999999999</v>
          </cell>
          <cell r="O478">
            <v>0.50499759727794125</v>
          </cell>
          <cell r="P478">
            <v>0.5</v>
          </cell>
          <cell r="Q478">
            <v>121.2</v>
          </cell>
        </row>
        <row r="479">
          <cell r="F479" t="str">
            <v>ESPECIALIZAÇÃO EM COMUNICAÇÃO E MARKETING POLÍTICO</v>
          </cell>
          <cell r="G479" t="str">
            <v>Humanas</v>
          </cell>
          <cell r="H479">
            <v>12</v>
          </cell>
          <cell r="I479">
            <v>19</v>
          </cell>
          <cell r="J479">
            <v>184.28091221052631</v>
          </cell>
          <cell r="K479">
            <v>3501.3373320000001</v>
          </cell>
          <cell r="L479">
            <v>0.45</v>
          </cell>
          <cell r="M479">
            <v>91.22</v>
          </cell>
          <cell r="N479">
            <v>1733.18</v>
          </cell>
          <cell r="O479">
            <v>0.50499485320656334</v>
          </cell>
          <cell r="P479">
            <v>0.5</v>
          </cell>
          <cell r="Q479">
            <v>82.93</v>
          </cell>
        </row>
        <row r="480">
          <cell r="F480" t="str">
            <v>ESPECIALIZAÇÃO EM COMUNICAÇÃO E PORTUGUÊS JURÍDICO</v>
          </cell>
          <cell r="G480" t="str">
            <v>Humanas</v>
          </cell>
          <cell r="H480">
            <v>6</v>
          </cell>
          <cell r="I480">
            <v>13</v>
          </cell>
          <cell r="J480">
            <v>269.33202599999998</v>
          </cell>
          <cell r="K480">
            <v>3501.3163379999996</v>
          </cell>
          <cell r="L480">
            <v>0.45</v>
          </cell>
          <cell r="M480">
            <v>133.32</v>
          </cell>
          <cell r="N480">
            <v>1733.1599999999999</v>
          </cell>
          <cell r="O480">
            <v>0.50499759727794125</v>
          </cell>
          <cell r="P480">
            <v>0.5</v>
          </cell>
          <cell r="Q480">
            <v>121.2</v>
          </cell>
        </row>
        <row r="481">
          <cell r="F481" t="str">
            <v>ESPECIALIZAÇÃO EM COMUNICAÇÃO ESTRATÉGICA E MARKETING POLÍTICO</v>
          </cell>
          <cell r="G481" t="str">
            <v>Humanas</v>
          </cell>
          <cell r="H481">
            <v>6</v>
          </cell>
          <cell r="I481">
            <v>13</v>
          </cell>
          <cell r="J481">
            <v>269.33202599999998</v>
          </cell>
          <cell r="K481">
            <v>3501.3163379999996</v>
          </cell>
          <cell r="L481">
            <v>0.45</v>
          </cell>
          <cell r="M481">
            <v>133.32</v>
          </cell>
          <cell r="N481">
            <v>1733.1599999999999</v>
          </cell>
          <cell r="O481">
            <v>0.50499759727794125</v>
          </cell>
          <cell r="P481">
            <v>0.5</v>
          </cell>
          <cell r="Q481">
            <v>121.2</v>
          </cell>
        </row>
        <row r="482">
          <cell r="F482" t="str">
            <v>ESPECIALIZAÇÃO EM CONTABILIDADE GERENCIAL</v>
          </cell>
          <cell r="G482" t="str">
            <v>Exatas</v>
          </cell>
          <cell r="H482">
            <v>6</v>
          </cell>
          <cell r="I482">
            <v>13</v>
          </cell>
          <cell r="J482">
            <v>269.33202599999998</v>
          </cell>
          <cell r="K482">
            <v>3501.3163379999996</v>
          </cell>
          <cell r="L482">
            <v>0.45</v>
          </cell>
          <cell r="M482">
            <v>133.32</v>
          </cell>
          <cell r="N482">
            <v>1733.1599999999999</v>
          </cell>
          <cell r="O482">
            <v>0.50499759727794125</v>
          </cell>
          <cell r="P482">
            <v>0.5</v>
          </cell>
          <cell r="Q482">
            <v>121.2</v>
          </cell>
        </row>
        <row r="483">
          <cell r="F483" t="str">
            <v>ESPECIALIZAÇÃO EM CONTROLE E QUALIDADE EM PROCESSOS, PRODUTOS E SERVIÇOS</v>
          </cell>
          <cell r="G483" t="str">
            <v>Exatas</v>
          </cell>
          <cell r="H483">
            <v>6</v>
          </cell>
          <cell r="I483">
            <v>13</v>
          </cell>
          <cell r="J483">
            <v>269.33202599999998</v>
          </cell>
          <cell r="K483">
            <v>3501.3163379999996</v>
          </cell>
          <cell r="L483">
            <v>0.45</v>
          </cell>
          <cell r="M483">
            <v>133.32</v>
          </cell>
          <cell r="N483">
            <v>1733.1599999999999</v>
          </cell>
          <cell r="O483">
            <v>0.50499759727794125</v>
          </cell>
          <cell r="P483">
            <v>0.5</v>
          </cell>
          <cell r="Q483">
            <v>121.2</v>
          </cell>
        </row>
        <row r="484">
          <cell r="F484" t="str">
            <v>ESPECIALIZAÇÃO EM COSMETOLOGIA ESTÉTICA</v>
          </cell>
          <cell r="G484" t="str">
            <v>Saúde</v>
          </cell>
          <cell r="H484">
            <v>12</v>
          </cell>
          <cell r="I484">
            <v>19</v>
          </cell>
          <cell r="J484">
            <v>277.58266800000001</v>
          </cell>
          <cell r="K484">
            <v>5274.0706920000002</v>
          </cell>
          <cell r="L484">
            <v>0.45</v>
          </cell>
          <cell r="M484">
            <v>137.4</v>
          </cell>
          <cell r="N484">
            <v>2610.6</v>
          </cell>
          <cell r="O484">
            <v>0.50501232303163834</v>
          </cell>
          <cell r="P484">
            <v>0.5</v>
          </cell>
          <cell r="Q484">
            <v>124.91</v>
          </cell>
        </row>
        <row r="485">
          <cell r="F485" t="str">
            <v>ESPECIALIZAÇÃO EM CUIDADO FARMACÊUTICO ONCOLÓGICO</v>
          </cell>
          <cell r="G485" t="str">
            <v>Saúde</v>
          </cell>
          <cell r="H485">
            <v>6</v>
          </cell>
          <cell r="I485">
            <v>13</v>
          </cell>
          <cell r="J485">
            <v>405.70905000000005</v>
          </cell>
          <cell r="K485">
            <v>5274.2176500000005</v>
          </cell>
          <cell r="L485">
            <v>0.45</v>
          </cell>
          <cell r="M485">
            <v>200.83</v>
          </cell>
          <cell r="N485">
            <v>2610.79</v>
          </cell>
          <cell r="O485">
            <v>0.50499009080522117</v>
          </cell>
          <cell r="P485">
            <v>0.5</v>
          </cell>
          <cell r="Q485">
            <v>182.57</v>
          </cell>
        </row>
        <row r="486">
          <cell r="F486" t="str">
            <v>ESPECIALIZAÇÃO EM DATA SCIENCE</v>
          </cell>
          <cell r="G486" t="str">
            <v>Exatas</v>
          </cell>
          <cell r="H486">
            <v>12</v>
          </cell>
          <cell r="I486">
            <v>19</v>
          </cell>
          <cell r="J486">
            <v>184.28091221052631</v>
          </cell>
          <cell r="K486">
            <v>3501.3373320000001</v>
          </cell>
          <cell r="L486">
            <v>0.45</v>
          </cell>
          <cell r="M486">
            <v>91.22</v>
          </cell>
          <cell r="N486">
            <v>1733.18</v>
          </cell>
          <cell r="O486">
            <v>0.50499485320656334</v>
          </cell>
          <cell r="P486">
            <v>0.5</v>
          </cell>
          <cell r="Q486">
            <v>82.93</v>
          </cell>
        </row>
        <row r="487">
          <cell r="F487" t="str">
            <v>ESPECIALIZAÇÃO EM DESIGN DE INTERIORES</v>
          </cell>
          <cell r="G487" t="str">
            <v>Exatas</v>
          </cell>
          <cell r="H487">
            <v>12</v>
          </cell>
          <cell r="I487">
            <v>19</v>
          </cell>
          <cell r="J487">
            <v>184.28091221052631</v>
          </cell>
          <cell r="K487">
            <v>3501.3373320000001</v>
          </cell>
          <cell r="L487">
            <v>0.45</v>
          </cell>
          <cell r="M487">
            <v>91.22</v>
          </cell>
          <cell r="N487">
            <v>1733.18</v>
          </cell>
          <cell r="O487">
            <v>0.50499485320656334</v>
          </cell>
          <cell r="P487">
            <v>0.5</v>
          </cell>
          <cell r="Q487">
            <v>82.93</v>
          </cell>
        </row>
        <row r="488">
          <cell r="F488" t="str">
            <v>ESPECIALIZAÇÃO EM DESIGN DE INTERIORES COM ÊNFASE EM PROJETOS COMERCIAIS</v>
          </cell>
          <cell r="G488" t="str">
            <v>Exatas</v>
          </cell>
          <cell r="H488">
            <v>12</v>
          </cell>
          <cell r="I488">
            <v>19</v>
          </cell>
          <cell r="J488">
            <v>184.28091221052631</v>
          </cell>
          <cell r="K488">
            <v>3501.3373320000001</v>
          </cell>
          <cell r="L488">
            <v>0.45</v>
          </cell>
          <cell r="M488">
            <v>91.22</v>
          </cell>
          <cell r="N488">
            <v>1733.18</v>
          </cell>
          <cell r="O488">
            <v>0.50499485320656334</v>
          </cell>
          <cell r="P488">
            <v>0.5</v>
          </cell>
          <cell r="Q488">
            <v>82.93</v>
          </cell>
        </row>
        <row r="489">
          <cell r="F489" t="str">
            <v>ESPECIALIZAÇÃO EM DESIGN DE PROJETOS COMERCIAIS</v>
          </cell>
          <cell r="G489" t="str">
            <v>Exatas</v>
          </cell>
          <cell r="H489">
            <v>6</v>
          </cell>
          <cell r="I489">
            <v>13</v>
          </cell>
          <cell r="J489">
            <v>269.33202599999998</v>
          </cell>
          <cell r="K489">
            <v>3501.3163379999996</v>
          </cell>
          <cell r="L489">
            <v>0.45</v>
          </cell>
          <cell r="M489">
            <v>133.32</v>
          </cell>
          <cell r="N489">
            <v>1733.1599999999999</v>
          </cell>
          <cell r="O489">
            <v>0.50499759727794125</v>
          </cell>
          <cell r="P489">
            <v>0.5</v>
          </cell>
          <cell r="Q489">
            <v>121.2</v>
          </cell>
        </row>
        <row r="490">
          <cell r="F490" t="str">
            <v>ESPECIALIZAÇÃO EM DEVOPS</v>
          </cell>
          <cell r="G490" t="str">
            <v>Exatas</v>
          </cell>
          <cell r="H490">
            <v>6</v>
          </cell>
          <cell r="I490">
            <v>13</v>
          </cell>
          <cell r="J490">
            <v>405.70905000000005</v>
          </cell>
          <cell r="K490">
            <v>5274.2176500000005</v>
          </cell>
          <cell r="L490">
            <v>0.45</v>
          </cell>
          <cell r="M490">
            <v>200.83</v>
          </cell>
          <cell r="N490">
            <v>2610.79</v>
          </cell>
          <cell r="O490">
            <v>0.50499009080522117</v>
          </cell>
          <cell r="P490">
            <v>0.5</v>
          </cell>
          <cell r="Q490">
            <v>182.57</v>
          </cell>
        </row>
        <row r="491">
          <cell r="F491" t="str">
            <v>ESPECIALIZAÇÃO EM DIAGNÓSTICO LABORATORIAL E ANÁLISES CLÍNICAS</v>
          </cell>
          <cell r="G491" t="str">
            <v>Saúde</v>
          </cell>
          <cell r="H491">
            <v>6</v>
          </cell>
          <cell r="I491">
            <v>13</v>
          </cell>
          <cell r="J491">
            <v>405.70905000000005</v>
          </cell>
          <cell r="K491">
            <v>5274.2176500000005</v>
          </cell>
          <cell r="L491">
            <v>0.45</v>
          </cell>
          <cell r="M491">
            <v>200.83</v>
          </cell>
          <cell r="N491">
            <v>2610.79</v>
          </cell>
          <cell r="O491">
            <v>0.50499009080522117</v>
          </cell>
          <cell r="P491">
            <v>0.5</v>
          </cell>
          <cell r="Q491">
            <v>182.57</v>
          </cell>
        </row>
        <row r="492">
          <cell r="F492" t="str">
            <v>ESPECIALIZAÇÃO EM DIDÁTICA E METODOLOGIA DO ENSINO DE GEOGRAFIA</v>
          </cell>
          <cell r="G492" t="str">
            <v>Humanas</v>
          </cell>
          <cell r="H492">
            <v>12</v>
          </cell>
          <cell r="I492">
            <v>19</v>
          </cell>
          <cell r="J492">
            <v>184.28091221052631</v>
          </cell>
          <cell r="K492">
            <v>3501.3373320000001</v>
          </cell>
          <cell r="L492">
            <v>0.45</v>
          </cell>
          <cell r="M492">
            <v>91.22</v>
          </cell>
          <cell r="N492">
            <v>1733.18</v>
          </cell>
          <cell r="O492">
            <v>0.50499485320656334</v>
          </cell>
          <cell r="P492">
            <v>0.5</v>
          </cell>
          <cell r="Q492">
            <v>82.93</v>
          </cell>
        </row>
        <row r="493">
          <cell r="F493" t="str">
            <v>ESPECIALIZAÇÃO EM DIDÁTICA E METODOLOGIA DO ENSINO DE LÍNGUA PORTUGUESA</v>
          </cell>
          <cell r="G493" t="str">
            <v>Humanas</v>
          </cell>
          <cell r="H493">
            <v>12</v>
          </cell>
          <cell r="I493">
            <v>19</v>
          </cell>
          <cell r="J493">
            <v>184.28091221052631</v>
          </cell>
          <cell r="K493">
            <v>3501.3373320000001</v>
          </cell>
          <cell r="L493">
            <v>0.45</v>
          </cell>
          <cell r="M493">
            <v>91.22</v>
          </cell>
          <cell r="N493">
            <v>1733.18</v>
          </cell>
          <cell r="O493">
            <v>0.50499485320656334</v>
          </cell>
          <cell r="P493">
            <v>0.5</v>
          </cell>
          <cell r="Q493">
            <v>82.93</v>
          </cell>
        </row>
        <row r="494">
          <cell r="F494" t="str">
            <v>ESPECIALIZAÇÃO EM DIGITAL INFLUENCER</v>
          </cell>
          <cell r="G494" t="str">
            <v>Humanas</v>
          </cell>
          <cell r="H494">
            <v>12</v>
          </cell>
          <cell r="I494">
            <v>19</v>
          </cell>
          <cell r="J494">
            <v>184.28091221052631</v>
          </cell>
          <cell r="K494">
            <v>3501.3373320000001</v>
          </cell>
          <cell r="L494">
            <v>0.45</v>
          </cell>
          <cell r="M494">
            <v>91.22</v>
          </cell>
          <cell r="N494">
            <v>1733.18</v>
          </cell>
          <cell r="O494">
            <v>0.50499485320656334</v>
          </cell>
          <cell r="P494">
            <v>0.5</v>
          </cell>
          <cell r="Q494">
            <v>82.93</v>
          </cell>
        </row>
        <row r="495">
          <cell r="F495" t="str">
            <v>ESPECIALIZAÇÃO EM DIGITAL SECURITY</v>
          </cell>
          <cell r="G495" t="str">
            <v>Exatas</v>
          </cell>
          <cell r="H495">
            <v>12</v>
          </cell>
          <cell r="I495">
            <v>19</v>
          </cell>
          <cell r="J495">
            <v>184.28091221052631</v>
          </cell>
          <cell r="K495">
            <v>3501.3373320000001</v>
          </cell>
          <cell r="L495">
            <v>0.45</v>
          </cell>
          <cell r="M495">
            <v>91.22</v>
          </cell>
          <cell r="N495">
            <v>1733.18</v>
          </cell>
          <cell r="O495">
            <v>0.50499485320656334</v>
          </cell>
          <cell r="P495">
            <v>0.5</v>
          </cell>
          <cell r="Q495">
            <v>82.93</v>
          </cell>
        </row>
        <row r="496">
          <cell r="F496" t="str">
            <v>ESPECIALIZAÇÃO EM DIREITO AMBIENTAL</v>
          </cell>
          <cell r="G496" t="str">
            <v>Humanas</v>
          </cell>
          <cell r="H496">
            <v>12</v>
          </cell>
          <cell r="I496">
            <v>19</v>
          </cell>
          <cell r="J496">
            <v>277.58266800000001</v>
          </cell>
          <cell r="K496">
            <v>5274.0706920000002</v>
          </cell>
          <cell r="L496">
            <v>0.45</v>
          </cell>
          <cell r="M496">
            <v>137.4</v>
          </cell>
          <cell r="N496">
            <v>2610.6</v>
          </cell>
          <cell r="O496">
            <v>0.50501232303163834</v>
          </cell>
          <cell r="P496">
            <v>0.5</v>
          </cell>
          <cell r="Q496">
            <v>124.91</v>
          </cell>
        </row>
        <row r="497">
          <cell r="F497" t="str">
            <v>ESPECIALIZAÇÃO EM DIREITO CIVIL</v>
          </cell>
          <cell r="G497" t="str">
            <v>Humanas</v>
          </cell>
          <cell r="H497">
            <v>6</v>
          </cell>
          <cell r="I497">
            <v>13</v>
          </cell>
          <cell r="J497">
            <v>405.70905000000005</v>
          </cell>
          <cell r="K497">
            <v>5274.2176500000005</v>
          </cell>
          <cell r="L497">
            <v>0.45</v>
          </cell>
          <cell r="M497">
            <v>200.83</v>
          </cell>
          <cell r="N497">
            <v>2610.79</v>
          </cell>
          <cell r="O497">
            <v>0.50499009080522117</v>
          </cell>
          <cell r="P497">
            <v>0.5</v>
          </cell>
          <cell r="Q497">
            <v>182.57</v>
          </cell>
        </row>
        <row r="498">
          <cell r="F498" t="str">
            <v>ESPECIALIZAÇÃO EM DIREITO CIVIL E PROCESSO CIVIL</v>
          </cell>
          <cell r="G498" t="str">
            <v>Humanas</v>
          </cell>
          <cell r="H498">
            <v>12</v>
          </cell>
          <cell r="I498">
            <v>19</v>
          </cell>
          <cell r="J498">
            <v>277.58266800000001</v>
          </cell>
          <cell r="K498">
            <v>5274.0706920000002</v>
          </cell>
          <cell r="L498">
            <v>0.45</v>
          </cell>
          <cell r="M498">
            <v>137.4</v>
          </cell>
          <cell r="N498">
            <v>2610.6</v>
          </cell>
          <cell r="O498">
            <v>0.50501232303163834</v>
          </cell>
          <cell r="P498">
            <v>0.5</v>
          </cell>
          <cell r="Q498">
            <v>124.91</v>
          </cell>
        </row>
        <row r="499">
          <cell r="F499" t="str">
            <v>ESPECIALIZAÇÃO EM DIREITO DO CONSUMIDOR</v>
          </cell>
          <cell r="G499" t="str">
            <v>Humanas</v>
          </cell>
          <cell r="H499">
            <v>12</v>
          </cell>
          <cell r="I499">
            <v>19</v>
          </cell>
          <cell r="J499">
            <v>277.58266800000001</v>
          </cell>
          <cell r="K499">
            <v>5274.0706920000002</v>
          </cell>
          <cell r="L499">
            <v>0.45</v>
          </cell>
          <cell r="M499">
            <v>137.4</v>
          </cell>
          <cell r="N499">
            <v>2610.6</v>
          </cell>
          <cell r="O499">
            <v>0.50501232303163834</v>
          </cell>
          <cell r="P499">
            <v>0.5</v>
          </cell>
          <cell r="Q499">
            <v>124.91</v>
          </cell>
        </row>
        <row r="500">
          <cell r="F500" t="str">
            <v>ESPECIALIZAÇÃO EM DIREITO DO TRABALHO</v>
          </cell>
          <cell r="G500" t="str">
            <v>Humanas</v>
          </cell>
          <cell r="H500">
            <v>6</v>
          </cell>
          <cell r="I500">
            <v>13</v>
          </cell>
          <cell r="J500">
            <v>405.70905000000005</v>
          </cell>
          <cell r="K500">
            <v>5274.2176500000005</v>
          </cell>
          <cell r="L500">
            <v>0.45</v>
          </cell>
          <cell r="M500">
            <v>200.83</v>
          </cell>
          <cell r="N500">
            <v>2610.79</v>
          </cell>
          <cell r="O500">
            <v>0.50499009080522117</v>
          </cell>
          <cell r="P500">
            <v>0.5</v>
          </cell>
          <cell r="Q500">
            <v>182.57</v>
          </cell>
        </row>
        <row r="501">
          <cell r="F501" t="str">
            <v>ESPECIALIZAÇÃO EM DIREITO E MEIO AMBIENTE</v>
          </cell>
          <cell r="G501" t="str">
            <v>Humanas</v>
          </cell>
          <cell r="H501">
            <v>6</v>
          </cell>
          <cell r="I501">
            <v>13</v>
          </cell>
          <cell r="J501">
            <v>405.70905000000005</v>
          </cell>
          <cell r="K501">
            <v>5274.2176500000005</v>
          </cell>
          <cell r="L501">
            <v>0.45</v>
          </cell>
          <cell r="M501">
            <v>200.83</v>
          </cell>
          <cell r="N501">
            <v>2610.79</v>
          </cell>
          <cell r="O501">
            <v>0.50499009080522117</v>
          </cell>
          <cell r="P501">
            <v>0.5</v>
          </cell>
          <cell r="Q501">
            <v>182.57</v>
          </cell>
        </row>
        <row r="502">
          <cell r="F502" t="str">
            <v>ESPECIALIZAÇÃO EM DIREITO ELEITORAL</v>
          </cell>
          <cell r="G502" t="str">
            <v>Humanas</v>
          </cell>
          <cell r="H502">
            <v>12</v>
          </cell>
          <cell r="I502">
            <v>19</v>
          </cell>
          <cell r="J502">
            <v>277.58266800000001</v>
          </cell>
          <cell r="K502">
            <v>5274.0706920000002</v>
          </cell>
          <cell r="L502">
            <v>0.45</v>
          </cell>
          <cell r="M502">
            <v>137.4</v>
          </cell>
          <cell r="N502">
            <v>2610.6</v>
          </cell>
          <cell r="O502">
            <v>0.50501232303163834</v>
          </cell>
          <cell r="P502">
            <v>0.5</v>
          </cell>
          <cell r="Q502">
            <v>124.91</v>
          </cell>
        </row>
        <row r="503">
          <cell r="F503" t="str">
            <v>ESPECIALIZAÇÃO EM DIREITO MATERIAL E PROCESSUAL DO TRABALHO</v>
          </cell>
          <cell r="G503" t="str">
            <v>Humanas</v>
          </cell>
          <cell r="H503">
            <v>12</v>
          </cell>
          <cell r="I503">
            <v>19</v>
          </cell>
          <cell r="J503">
            <v>277.58266800000001</v>
          </cell>
          <cell r="K503">
            <v>5274.0706920000002</v>
          </cell>
          <cell r="L503">
            <v>0.45</v>
          </cell>
          <cell r="M503">
            <v>137.4</v>
          </cell>
          <cell r="N503">
            <v>2610.6</v>
          </cell>
          <cell r="O503">
            <v>0.50501232303163834</v>
          </cell>
          <cell r="P503">
            <v>0.5</v>
          </cell>
          <cell r="Q503">
            <v>124.91</v>
          </cell>
        </row>
        <row r="504">
          <cell r="F504" t="str">
            <v>ESPECIALIZAÇÃO EM DIREITO NAS RELAÇÕES DE CONSUMO</v>
          </cell>
          <cell r="G504" t="str">
            <v>Humanas</v>
          </cell>
          <cell r="H504">
            <v>6</v>
          </cell>
          <cell r="I504">
            <v>13</v>
          </cell>
          <cell r="J504">
            <v>405.70905000000005</v>
          </cell>
          <cell r="K504">
            <v>5274.2176500000005</v>
          </cell>
          <cell r="L504">
            <v>0.45</v>
          </cell>
          <cell r="M504">
            <v>200.83</v>
          </cell>
          <cell r="N504">
            <v>2610.79</v>
          </cell>
          <cell r="O504">
            <v>0.50499009080522117</v>
          </cell>
          <cell r="P504">
            <v>0.5</v>
          </cell>
          <cell r="Q504">
            <v>182.57</v>
          </cell>
        </row>
        <row r="505">
          <cell r="F505" t="str">
            <v>ESPECIALIZAÇÃO EM DIREITO PÚBLICO</v>
          </cell>
          <cell r="G505" t="str">
            <v>Humanas</v>
          </cell>
          <cell r="H505">
            <v>12</v>
          </cell>
          <cell r="I505">
            <v>19</v>
          </cell>
          <cell r="J505">
            <v>277.58266800000001</v>
          </cell>
          <cell r="K505">
            <v>5274.0706920000002</v>
          </cell>
          <cell r="L505">
            <v>0.45</v>
          </cell>
          <cell r="M505">
            <v>137.4</v>
          </cell>
          <cell r="N505">
            <v>2610.6</v>
          </cell>
          <cell r="O505">
            <v>0.50501232303163834</v>
          </cell>
          <cell r="P505">
            <v>0.5</v>
          </cell>
          <cell r="Q505">
            <v>124.91</v>
          </cell>
        </row>
        <row r="506">
          <cell r="F506" t="str">
            <v>ESPECIALIZAÇÃO EM DIREITO PÚBLICO E ADMINISTRAÇÃO PÚBLICA</v>
          </cell>
          <cell r="G506" t="str">
            <v>Humanas</v>
          </cell>
          <cell r="H506">
            <v>12</v>
          </cell>
          <cell r="I506">
            <v>19</v>
          </cell>
          <cell r="J506">
            <v>184.28091221052631</v>
          </cell>
          <cell r="K506">
            <v>3501.3373320000001</v>
          </cell>
          <cell r="L506">
            <v>0.45</v>
          </cell>
          <cell r="M506">
            <v>91.22</v>
          </cell>
          <cell r="N506">
            <v>1733.18</v>
          </cell>
          <cell r="O506">
            <v>0.50499485320656334</v>
          </cell>
          <cell r="P506">
            <v>0.5</v>
          </cell>
          <cell r="Q506">
            <v>82.93</v>
          </cell>
        </row>
        <row r="507">
          <cell r="F507" t="str">
            <v>ESPECIALIZAÇÃO EM DIREITO PÚBLICO E ORGANIZAÇÃO PÚBLICA</v>
          </cell>
          <cell r="G507" t="str">
            <v>Humanas</v>
          </cell>
          <cell r="H507">
            <v>6</v>
          </cell>
          <cell r="I507">
            <v>13</v>
          </cell>
          <cell r="J507">
            <v>405.70905000000005</v>
          </cell>
          <cell r="K507">
            <v>5274.2176500000005</v>
          </cell>
          <cell r="L507">
            <v>0.45</v>
          </cell>
          <cell r="M507">
            <v>200.83</v>
          </cell>
          <cell r="N507">
            <v>2610.79</v>
          </cell>
          <cell r="O507">
            <v>0.50499009080522117</v>
          </cell>
          <cell r="P507">
            <v>0.5</v>
          </cell>
          <cell r="Q507">
            <v>182.57</v>
          </cell>
        </row>
        <row r="508">
          <cell r="F508" t="str">
            <v>ESPECIALIZAÇÃO EM DOCÊNCIA DA EDUCAÇÃO SUPERIOR</v>
          </cell>
          <cell r="G508" t="str">
            <v>Humanas</v>
          </cell>
          <cell r="H508">
            <v>6</v>
          </cell>
          <cell r="I508">
            <v>13</v>
          </cell>
          <cell r="J508">
            <v>269.33202599999998</v>
          </cell>
          <cell r="K508">
            <v>3501.3163379999996</v>
          </cell>
          <cell r="L508">
            <v>0.45</v>
          </cell>
          <cell r="M508">
            <v>133.32</v>
          </cell>
          <cell r="N508">
            <v>1733.1599999999999</v>
          </cell>
          <cell r="O508">
            <v>0.50499759727794125</v>
          </cell>
          <cell r="P508">
            <v>0.5</v>
          </cell>
          <cell r="Q508">
            <v>121.2</v>
          </cell>
        </row>
        <row r="509">
          <cell r="F509" t="str">
            <v>ESPECIALIZAÇÃO EM DOCÊNCIA DO ENSINO SUPERIOR</v>
          </cell>
          <cell r="G509" t="str">
            <v>Humanas</v>
          </cell>
          <cell r="H509">
            <v>12</v>
          </cell>
          <cell r="I509">
            <v>19</v>
          </cell>
          <cell r="J509">
            <v>184.28091221052631</v>
          </cell>
          <cell r="K509">
            <v>3501.3373320000001</v>
          </cell>
          <cell r="L509">
            <v>0.45</v>
          </cell>
          <cell r="M509">
            <v>91.22</v>
          </cell>
          <cell r="N509">
            <v>1733.18</v>
          </cell>
          <cell r="O509">
            <v>0.50499485320656334</v>
          </cell>
          <cell r="P509">
            <v>0.5</v>
          </cell>
          <cell r="Q509">
            <v>82.93</v>
          </cell>
        </row>
        <row r="510">
          <cell r="F510" t="str">
            <v>ESPECIALIZAÇÃO EM DOCÊNCIA E GESTÃO DO ENSINO SUPERIOR</v>
          </cell>
          <cell r="G510" t="str">
            <v>Humanas</v>
          </cell>
          <cell r="H510">
            <v>12</v>
          </cell>
          <cell r="I510">
            <v>19</v>
          </cell>
          <cell r="J510">
            <v>184.28091221052631</v>
          </cell>
          <cell r="K510">
            <v>3501.3373320000001</v>
          </cell>
          <cell r="L510">
            <v>0.45</v>
          </cell>
          <cell r="M510">
            <v>91.22</v>
          </cell>
          <cell r="N510">
            <v>1733.18</v>
          </cell>
          <cell r="O510">
            <v>0.50499485320656334</v>
          </cell>
          <cell r="P510">
            <v>0.5</v>
          </cell>
          <cell r="Q510">
            <v>82.93</v>
          </cell>
        </row>
        <row r="511">
          <cell r="F511" t="str">
            <v>ESPECIALIZAÇÃO EM EDUCAÇÃO AMBIENTAL</v>
          </cell>
          <cell r="G511" t="str">
            <v>Humanas</v>
          </cell>
          <cell r="H511">
            <v>12</v>
          </cell>
          <cell r="I511">
            <v>19</v>
          </cell>
          <cell r="J511">
            <v>184.28091221052631</v>
          </cell>
          <cell r="K511">
            <v>3501.3373320000001</v>
          </cell>
          <cell r="L511">
            <v>0.45</v>
          </cell>
          <cell r="M511">
            <v>91.22</v>
          </cell>
          <cell r="N511">
            <v>1733.18</v>
          </cell>
          <cell r="O511">
            <v>0.50499485320656334</v>
          </cell>
          <cell r="P511">
            <v>0.5</v>
          </cell>
          <cell r="Q511">
            <v>82.93</v>
          </cell>
        </row>
        <row r="512">
          <cell r="F512" t="str">
            <v>ESPECIALIZAÇÃO EM EDUCAÇÃO EM MEIO AMBIENTE</v>
          </cell>
          <cell r="G512" t="str">
            <v>Humanas</v>
          </cell>
          <cell r="H512">
            <v>6</v>
          </cell>
          <cell r="I512">
            <v>13</v>
          </cell>
          <cell r="J512">
            <v>269.33202599999998</v>
          </cell>
          <cell r="K512">
            <v>3501.3163379999996</v>
          </cell>
          <cell r="L512">
            <v>0.45</v>
          </cell>
          <cell r="M512">
            <v>133.32</v>
          </cell>
          <cell r="N512">
            <v>1733.1599999999999</v>
          </cell>
          <cell r="O512">
            <v>0.50499759727794125</v>
          </cell>
          <cell r="P512">
            <v>0.5</v>
          </cell>
          <cell r="Q512">
            <v>121.2</v>
          </cell>
        </row>
        <row r="513">
          <cell r="F513" t="str">
            <v>ESPECIALIZAÇÃO EM EDUCAÇÃO ESPECIAL</v>
          </cell>
          <cell r="G513" t="str">
            <v>Humanas</v>
          </cell>
          <cell r="H513">
            <v>12</v>
          </cell>
          <cell r="I513">
            <v>19</v>
          </cell>
          <cell r="J513">
            <v>184.28091221052631</v>
          </cell>
          <cell r="K513">
            <v>3501.3373320000001</v>
          </cell>
          <cell r="L513">
            <v>0.45</v>
          </cell>
          <cell r="M513">
            <v>91.22</v>
          </cell>
          <cell r="N513">
            <v>1733.18</v>
          </cell>
          <cell r="O513">
            <v>0.50499485320656334</v>
          </cell>
          <cell r="P513">
            <v>0.5</v>
          </cell>
          <cell r="Q513">
            <v>82.93</v>
          </cell>
        </row>
        <row r="514">
          <cell r="F514" t="str">
            <v>ESPECIALIZAÇÃO EM EDUCAÇÃO ESPECIAL E INCLUSIVA</v>
          </cell>
          <cell r="G514" t="str">
            <v>Humanas</v>
          </cell>
          <cell r="H514">
            <v>6</v>
          </cell>
          <cell r="I514">
            <v>13</v>
          </cell>
          <cell r="J514">
            <v>269.33202599999998</v>
          </cell>
          <cell r="K514">
            <v>3501.3163379999996</v>
          </cell>
          <cell r="L514">
            <v>0.45</v>
          </cell>
          <cell r="M514">
            <v>133.32</v>
          </cell>
          <cell r="N514">
            <v>1733.1599999999999</v>
          </cell>
          <cell r="O514">
            <v>0.50499759727794125</v>
          </cell>
          <cell r="P514">
            <v>0.5</v>
          </cell>
          <cell r="Q514">
            <v>121.2</v>
          </cell>
        </row>
        <row r="515">
          <cell r="F515" t="str">
            <v>ESPECIALIZAÇÃO EM EDUCAÇÃO FINANCEIRA</v>
          </cell>
          <cell r="G515" t="str">
            <v>Humanas</v>
          </cell>
          <cell r="H515">
            <v>12</v>
          </cell>
          <cell r="I515">
            <v>19</v>
          </cell>
          <cell r="J515">
            <v>184.28091221052631</v>
          </cell>
          <cell r="K515">
            <v>3501.3373320000001</v>
          </cell>
          <cell r="L515">
            <v>0.45</v>
          </cell>
          <cell r="M515">
            <v>91.22</v>
          </cell>
          <cell r="N515">
            <v>1733.18</v>
          </cell>
          <cell r="O515">
            <v>0.50499485320656334</v>
          </cell>
          <cell r="P515">
            <v>0.5</v>
          </cell>
          <cell r="Q515">
            <v>82.93</v>
          </cell>
        </row>
        <row r="516">
          <cell r="F516" t="str">
            <v>ESPECIALIZAÇÃO EM EDUCAÇÃO INFANTIL</v>
          </cell>
          <cell r="G516" t="str">
            <v>Humanas</v>
          </cell>
          <cell r="H516">
            <v>12</v>
          </cell>
          <cell r="I516">
            <v>19</v>
          </cell>
          <cell r="J516">
            <v>184.28091221052631</v>
          </cell>
          <cell r="K516">
            <v>3501.3373320000001</v>
          </cell>
          <cell r="L516">
            <v>0.45</v>
          </cell>
          <cell r="M516">
            <v>91.22</v>
          </cell>
          <cell r="N516">
            <v>1733.18</v>
          </cell>
          <cell r="O516">
            <v>0.50499485320656334</v>
          </cell>
          <cell r="P516">
            <v>0.5</v>
          </cell>
          <cell r="Q516">
            <v>82.93</v>
          </cell>
        </row>
        <row r="517">
          <cell r="F517" t="str">
            <v>ESPECIALIZAÇÃO EM EDUCAÇÃO INFANTIL E ALFABETIZAÇÃO</v>
          </cell>
          <cell r="G517" t="str">
            <v>Humanas</v>
          </cell>
          <cell r="H517">
            <v>6</v>
          </cell>
          <cell r="I517">
            <v>13</v>
          </cell>
          <cell r="J517">
            <v>269.33202599999998</v>
          </cell>
          <cell r="K517">
            <v>3501.3163379999996</v>
          </cell>
          <cell r="L517">
            <v>0.45</v>
          </cell>
          <cell r="M517">
            <v>133.32</v>
          </cell>
          <cell r="N517">
            <v>1733.1599999999999</v>
          </cell>
          <cell r="O517">
            <v>0.50499759727794125</v>
          </cell>
          <cell r="P517">
            <v>0.5</v>
          </cell>
          <cell r="Q517">
            <v>121.2</v>
          </cell>
        </row>
        <row r="518">
          <cell r="F518" t="str">
            <v>ESPECIALIZAÇÃO EM EDUCAÇÃO, JOGOS E LUDICIDADE PARA O ENSINO</v>
          </cell>
          <cell r="G518" t="str">
            <v>Humanas</v>
          </cell>
          <cell r="H518">
            <v>12</v>
          </cell>
          <cell r="I518">
            <v>19</v>
          </cell>
          <cell r="J518">
            <v>184.28091221052631</v>
          </cell>
          <cell r="K518">
            <v>3501.3373320000001</v>
          </cell>
          <cell r="L518">
            <v>0.45</v>
          </cell>
          <cell r="M518">
            <v>91.22</v>
          </cell>
          <cell r="N518">
            <v>1733.18</v>
          </cell>
          <cell r="O518">
            <v>0.50499485320656334</v>
          </cell>
          <cell r="P518">
            <v>0.5</v>
          </cell>
          <cell r="Q518">
            <v>82.93</v>
          </cell>
        </row>
        <row r="519">
          <cell r="F519" t="str">
            <v>ESPECIALIZAÇÃO EM ENFERMAGEM COM FOCO EM ONCOLOGIA</v>
          </cell>
          <cell r="G519" t="str">
            <v>Saúde</v>
          </cell>
          <cell r="H519">
            <v>6</v>
          </cell>
          <cell r="I519">
            <v>13</v>
          </cell>
          <cell r="J519">
            <v>405.70905000000005</v>
          </cell>
          <cell r="K519">
            <v>5274.2176500000005</v>
          </cell>
          <cell r="L519">
            <v>0.45</v>
          </cell>
          <cell r="M519">
            <v>200.83</v>
          </cell>
          <cell r="N519">
            <v>2610.79</v>
          </cell>
          <cell r="O519">
            <v>0.50499009080522117</v>
          </cell>
          <cell r="P519">
            <v>0.5</v>
          </cell>
          <cell r="Q519">
            <v>182.57</v>
          </cell>
        </row>
        <row r="520">
          <cell r="F520" t="str">
            <v>ESPECIALIZAÇÃO EM ENFERMAGEM ONCOLÓGICA</v>
          </cell>
          <cell r="G520" t="str">
            <v>Saúde</v>
          </cell>
          <cell r="H520">
            <v>12</v>
          </cell>
          <cell r="I520">
            <v>19</v>
          </cell>
          <cell r="J520">
            <v>277.58266800000001</v>
          </cell>
          <cell r="K520">
            <v>5274.0706920000002</v>
          </cell>
          <cell r="L520">
            <v>0.45</v>
          </cell>
          <cell r="M520">
            <v>137.4</v>
          </cell>
          <cell r="N520">
            <v>2610.6</v>
          </cell>
          <cell r="O520">
            <v>0.50501232303163834</v>
          </cell>
          <cell r="P520">
            <v>0.5</v>
          </cell>
          <cell r="Q520">
            <v>124.91</v>
          </cell>
        </row>
        <row r="521">
          <cell r="F521" t="str">
            <v>ESPECIALIZAÇÃO EM ENGENHARIA AMBIENTAL E SANEAMENTO BÁSICO</v>
          </cell>
          <cell r="G521" t="str">
            <v>Exatas</v>
          </cell>
          <cell r="H521">
            <v>6</v>
          </cell>
          <cell r="I521">
            <v>13</v>
          </cell>
          <cell r="J521">
            <v>269.33202599999998</v>
          </cell>
          <cell r="K521">
            <v>3501.3163379999996</v>
          </cell>
          <cell r="L521">
            <v>0.45</v>
          </cell>
          <cell r="M521">
            <v>133.32</v>
          </cell>
          <cell r="N521">
            <v>1733.1599999999999</v>
          </cell>
          <cell r="O521">
            <v>0.50499759727794125</v>
          </cell>
          <cell r="P521">
            <v>0.5</v>
          </cell>
          <cell r="Q521">
            <v>121.2</v>
          </cell>
        </row>
        <row r="522">
          <cell r="F522" t="str">
            <v>ESPECIALIZAÇÃO EM ENGENHARIA DE DEVOPS</v>
          </cell>
          <cell r="G522" t="str">
            <v>Exatas</v>
          </cell>
          <cell r="H522">
            <v>12</v>
          </cell>
          <cell r="I522">
            <v>19</v>
          </cell>
          <cell r="J522">
            <v>277.58266800000001</v>
          </cell>
          <cell r="K522">
            <v>5274.0706920000002</v>
          </cell>
          <cell r="L522">
            <v>0.45</v>
          </cell>
          <cell r="M522">
            <v>137.4</v>
          </cell>
          <cell r="N522">
            <v>2610.6</v>
          </cell>
          <cell r="O522">
            <v>0.50501232303163834</v>
          </cell>
          <cell r="P522">
            <v>0.5</v>
          </cell>
          <cell r="Q522">
            <v>124.91</v>
          </cell>
        </row>
        <row r="523">
          <cell r="F523" t="str">
            <v>ESPECIALIZAÇÃO EM ENGENHARIA DE OPERAÇÕES E LOGÍSTICAS</v>
          </cell>
          <cell r="G523" t="str">
            <v>Exatas</v>
          </cell>
          <cell r="H523">
            <v>6</v>
          </cell>
          <cell r="I523">
            <v>13</v>
          </cell>
          <cell r="J523">
            <v>269.33202599999998</v>
          </cell>
          <cell r="K523">
            <v>3501.3163379999996</v>
          </cell>
          <cell r="L523">
            <v>0.45</v>
          </cell>
          <cell r="M523">
            <v>133.32</v>
          </cell>
          <cell r="N523">
            <v>1733.1599999999999</v>
          </cell>
          <cell r="O523">
            <v>0.50499759727794125</v>
          </cell>
          <cell r="P523">
            <v>0.5</v>
          </cell>
          <cell r="Q523">
            <v>121.2</v>
          </cell>
        </row>
        <row r="524">
          <cell r="F524" t="str">
            <v>ESPECIALIZAÇÃO EM ENGENHARIA DE PRODUÇÃO</v>
          </cell>
          <cell r="G524" t="str">
            <v>Exatas</v>
          </cell>
          <cell r="H524">
            <v>12</v>
          </cell>
          <cell r="I524">
            <v>19</v>
          </cell>
          <cell r="J524">
            <v>184.28091221052631</v>
          </cell>
          <cell r="K524">
            <v>3501.3373320000001</v>
          </cell>
          <cell r="L524">
            <v>0.45</v>
          </cell>
          <cell r="M524">
            <v>91.22</v>
          </cell>
          <cell r="N524">
            <v>1733.18</v>
          </cell>
          <cell r="O524">
            <v>0.50499485320656334</v>
          </cell>
          <cell r="P524">
            <v>0.5</v>
          </cell>
          <cell r="Q524">
            <v>82.93</v>
          </cell>
        </row>
        <row r="525">
          <cell r="F525" t="str">
            <v>ESPECIALIZAÇÃO EM ENGENHARIA DE PRODUÇÃO E OPERAÇÕES</v>
          </cell>
          <cell r="G525" t="str">
            <v>Exatas</v>
          </cell>
          <cell r="H525">
            <v>6</v>
          </cell>
          <cell r="I525">
            <v>13</v>
          </cell>
          <cell r="J525">
            <v>269.33202599999998</v>
          </cell>
          <cell r="K525">
            <v>3501.3163379999996</v>
          </cell>
          <cell r="L525">
            <v>0.45</v>
          </cell>
          <cell r="M525">
            <v>133.32</v>
          </cell>
          <cell r="N525">
            <v>1733.1599999999999</v>
          </cell>
          <cell r="O525">
            <v>0.50499759727794125</v>
          </cell>
          <cell r="P525">
            <v>0.5</v>
          </cell>
          <cell r="Q525">
            <v>121.2</v>
          </cell>
        </row>
        <row r="526">
          <cell r="F526" t="str">
            <v>ESPECIALIZAÇÃO EM ENGENHARIA, MEIO AMBIENTE E SANEAMENTO BÁSICO</v>
          </cell>
          <cell r="G526" t="str">
            <v>Exatas</v>
          </cell>
          <cell r="H526">
            <v>12</v>
          </cell>
          <cell r="I526">
            <v>19</v>
          </cell>
          <cell r="J526">
            <v>184.28091221052631</v>
          </cell>
          <cell r="K526">
            <v>3501.3373320000001</v>
          </cell>
          <cell r="L526">
            <v>0.45</v>
          </cell>
          <cell r="M526">
            <v>91.22</v>
          </cell>
          <cell r="N526">
            <v>1733.18</v>
          </cell>
          <cell r="O526">
            <v>0.50499485320656334</v>
          </cell>
          <cell r="P526">
            <v>0.5</v>
          </cell>
          <cell r="Q526">
            <v>82.93</v>
          </cell>
        </row>
        <row r="527">
          <cell r="F527" t="str">
            <v>ESPECIALIZAÇÃO EM EPIDEMIOLOGIA E VIGILÂNCIA EM SAÚDE</v>
          </cell>
          <cell r="G527" t="str">
            <v>Saúde</v>
          </cell>
          <cell r="H527">
            <v>12</v>
          </cell>
          <cell r="I527">
            <v>19</v>
          </cell>
          <cell r="J527">
            <v>277.58266800000001</v>
          </cell>
          <cell r="K527">
            <v>5274.0706920000002</v>
          </cell>
          <cell r="L527">
            <v>0.45</v>
          </cell>
          <cell r="M527">
            <v>137.4</v>
          </cell>
          <cell r="N527">
            <v>2610.6</v>
          </cell>
          <cell r="O527">
            <v>0.50501232303163834</v>
          </cell>
          <cell r="P527">
            <v>0.5</v>
          </cell>
          <cell r="Q527">
            <v>124.91</v>
          </cell>
        </row>
        <row r="528">
          <cell r="F528" t="str">
            <v>ESPECIALIZAÇÃO EM ESTÉTICA E COSMETOLOGIA</v>
          </cell>
          <cell r="G528" t="str">
            <v>Saúde</v>
          </cell>
          <cell r="H528">
            <v>6</v>
          </cell>
          <cell r="I528">
            <v>13</v>
          </cell>
          <cell r="J528">
            <v>405.70905000000005</v>
          </cell>
          <cell r="K528">
            <v>5274.2176500000005</v>
          </cell>
          <cell r="L528">
            <v>0.45</v>
          </cell>
          <cell r="M528">
            <v>200.83</v>
          </cell>
          <cell r="N528">
            <v>2610.79</v>
          </cell>
          <cell r="O528">
            <v>0.50499009080522117</v>
          </cell>
          <cell r="P528">
            <v>0.5</v>
          </cell>
          <cell r="Q528">
            <v>182.57</v>
          </cell>
        </row>
        <row r="529">
          <cell r="F529" t="str">
            <v>ESPECIALIZAÇÃO EM ESTRATÉGIA EM SAÚDE DA FAMÍLIA</v>
          </cell>
          <cell r="G529" t="str">
            <v>Saúde</v>
          </cell>
          <cell r="H529">
            <v>6</v>
          </cell>
          <cell r="I529">
            <v>13</v>
          </cell>
          <cell r="J529">
            <v>405.70905000000005</v>
          </cell>
          <cell r="K529">
            <v>5274.2176500000005</v>
          </cell>
          <cell r="L529">
            <v>0.45</v>
          </cell>
          <cell r="M529">
            <v>200.83</v>
          </cell>
          <cell r="N529">
            <v>2610.79</v>
          </cell>
          <cell r="O529">
            <v>0.50499009080522117</v>
          </cell>
          <cell r="P529">
            <v>0.5</v>
          </cell>
          <cell r="Q529">
            <v>182.57</v>
          </cell>
        </row>
        <row r="530">
          <cell r="F530" t="str">
            <v>ESPECIALIZAÇÃO EM FARMÁCIA HOSPITALAR</v>
          </cell>
          <cell r="G530" t="str">
            <v>Saúde</v>
          </cell>
          <cell r="H530">
            <v>12</v>
          </cell>
          <cell r="I530">
            <v>19</v>
          </cell>
          <cell r="J530">
            <v>277.58266800000001</v>
          </cell>
          <cell r="K530">
            <v>5274.0706920000002</v>
          </cell>
          <cell r="L530">
            <v>0.45</v>
          </cell>
          <cell r="M530">
            <v>137.4</v>
          </cell>
          <cell r="N530">
            <v>2610.6</v>
          </cell>
          <cell r="O530">
            <v>0.50501232303163834</v>
          </cell>
          <cell r="P530">
            <v>0.5</v>
          </cell>
          <cell r="Q530">
            <v>124.91</v>
          </cell>
        </row>
        <row r="531">
          <cell r="F531" t="str">
            <v>ESPECIALIZAÇÃO EM FARMÁCIA ONCOLÓGICA</v>
          </cell>
          <cell r="G531" t="str">
            <v>Saúde</v>
          </cell>
          <cell r="H531">
            <v>12</v>
          </cell>
          <cell r="I531">
            <v>19</v>
          </cell>
          <cell r="J531">
            <v>277.58266800000001</v>
          </cell>
          <cell r="K531">
            <v>5274.0706920000002</v>
          </cell>
          <cell r="L531">
            <v>0.45</v>
          </cell>
          <cell r="M531">
            <v>137.4</v>
          </cell>
          <cell r="N531">
            <v>2610.6</v>
          </cell>
          <cell r="O531">
            <v>0.50501232303163834</v>
          </cell>
          <cell r="P531">
            <v>0.5</v>
          </cell>
          <cell r="Q531">
            <v>124.91</v>
          </cell>
        </row>
        <row r="532">
          <cell r="F532" t="str">
            <v>ESPECIALIZAÇÃO EM FARMACOLOGIA CLÍNICA</v>
          </cell>
          <cell r="G532" t="str">
            <v>Saúde</v>
          </cell>
          <cell r="H532">
            <v>12</v>
          </cell>
          <cell r="I532">
            <v>19</v>
          </cell>
          <cell r="J532">
            <v>277.58266800000001</v>
          </cell>
          <cell r="K532">
            <v>5274.0706920000002</v>
          </cell>
          <cell r="L532">
            <v>0.45</v>
          </cell>
          <cell r="M532">
            <v>137.4</v>
          </cell>
          <cell r="N532">
            <v>2610.6</v>
          </cell>
          <cell r="O532">
            <v>0.50501232303163834</v>
          </cell>
          <cell r="P532">
            <v>0.5</v>
          </cell>
          <cell r="Q532">
            <v>124.91</v>
          </cell>
        </row>
        <row r="533">
          <cell r="F533" t="str">
            <v>ESPECIALIZAÇÃO EM FARMACOLOGIA CLÍNICA APLICADA</v>
          </cell>
          <cell r="G533" t="str">
            <v>Saúde</v>
          </cell>
          <cell r="H533">
            <v>6</v>
          </cell>
          <cell r="I533">
            <v>13</v>
          </cell>
          <cell r="J533">
            <v>405.70905000000005</v>
          </cell>
          <cell r="K533">
            <v>5274.2176500000005</v>
          </cell>
          <cell r="L533">
            <v>0.45</v>
          </cell>
          <cell r="M533">
            <v>200.83</v>
          </cell>
          <cell r="N533">
            <v>2610.79</v>
          </cell>
          <cell r="O533">
            <v>0.50499009080522117</v>
          </cell>
          <cell r="P533">
            <v>0.5</v>
          </cell>
          <cell r="Q533">
            <v>182.57</v>
          </cell>
        </row>
        <row r="534">
          <cell r="F534" t="str">
            <v>ESPECIALIZAÇÃO EM FARMACOLOGIA HOSPITALAR</v>
          </cell>
          <cell r="G534" t="str">
            <v>Saúde</v>
          </cell>
          <cell r="H534">
            <v>6</v>
          </cell>
          <cell r="I534">
            <v>13</v>
          </cell>
          <cell r="J534">
            <v>405.70905000000005</v>
          </cell>
          <cell r="K534">
            <v>5274.2176500000005</v>
          </cell>
          <cell r="L534">
            <v>0.45</v>
          </cell>
          <cell r="M534">
            <v>200.83</v>
          </cell>
          <cell r="N534">
            <v>2610.79</v>
          </cell>
          <cell r="O534">
            <v>0.50499009080522117</v>
          </cell>
          <cell r="P534">
            <v>0.5</v>
          </cell>
          <cell r="Q534">
            <v>182.57</v>
          </cell>
        </row>
        <row r="535">
          <cell r="F535" t="str">
            <v>ESPECIALIZAÇÃO EM FILOSOFIA NA EDUCAÇÃO COM ÊNFASE NO PROCESSO DE FORMAÇÃO ÉTNICO - RACIAL</v>
          </cell>
          <cell r="G535" t="str">
            <v>Humanas</v>
          </cell>
          <cell r="H535">
            <v>12</v>
          </cell>
          <cell r="I535">
            <v>19</v>
          </cell>
          <cell r="J535">
            <v>184.28091221052631</v>
          </cell>
          <cell r="K535">
            <v>3501.3373320000001</v>
          </cell>
          <cell r="L535">
            <v>0.45</v>
          </cell>
          <cell r="M535">
            <v>91.22</v>
          </cell>
          <cell r="N535">
            <v>1733.18</v>
          </cell>
          <cell r="O535">
            <v>0.50499485320656334</v>
          </cell>
          <cell r="P535">
            <v>0.5</v>
          </cell>
          <cell r="Q535">
            <v>82.93</v>
          </cell>
        </row>
        <row r="536">
          <cell r="F536" t="str">
            <v>ESPECIALIZAÇÃO EM FINANÇAS CORPORATIVAS</v>
          </cell>
          <cell r="G536" t="str">
            <v>Humanas</v>
          </cell>
          <cell r="H536">
            <v>12</v>
          </cell>
          <cell r="I536">
            <v>19</v>
          </cell>
          <cell r="J536">
            <v>184.28091221052631</v>
          </cell>
          <cell r="K536">
            <v>3501.3373320000001</v>
          </cell>
          <cell r="L536">
            <v>0.45</v>
          </cell>
          <cell r="M536">
            <v>91.22</v>
          </cell>
          <cell r="N536">
            <v>1733.18</v>
          </cell>
          <cell r="O536">
            <v>0.50499485320656334</v>
          </cell>
          <cell r="P536">
            <v>0.5</v>
          </cell>
          <cell r="Q536">
            <v>82.93</v>
          </cell>
        </row>
        <row r="537">
          <cell r="F537" t="str">
            <v>ESPECIALIZAÇÃO EM FINANÇAS PARA EMPRESAS</v>
          </cell>
          <cell r="G537" t="str">
            <v>Humanas</v>
          </cell>
          <cell r="H537">
            <v>6</v>
          </cell>
          <cell r="I537">
            <v>13</v>
          </cell>
          <cell r="J537">
            <v>269.33202599999998</v>
          </cell>
          <cell r="K537">
            <v>3501.3163379999996</v>
          </cell>
          <cell r="L537">
            <v>0.45</v>
          </cell>
          <cell r="M537">
            <v>133.32</v>
          </cell>
          <cell r="N537">
            <v>1733.1599999999999</v>
          </cell>
          <cell r="O537">
            <v>0.50499759727794125</v>
          </cell>
          <cell r="P537">
            <v>0.5</v>
          </cell>
          <cell r="Q537">
            <v>121.2</v>
          </cell>
        </row>
        <row r="538">
          <cell r="F538" t="str">
            <v>ESPECIALIZAÇÃO EM FISIOTERAPIA EM GERIATRIA E GERONTOLOGIA</v>
          </cell>
          <cell r="G538" t="str">
            <v>Saúde</v>
          </cell>
          <cell r="H538">
            <v>12</v>
          </cell>
          <cell r="I538">
            <v>19</v>
          </cell>
          <cell r="J538">
            <v>277.58266800000001</v>
          </cell>
          <cell r="K538">
            <v>5274.0706920000002</v>
          </cell>
          <cell r="L538">
            <v>0.45</v>
          </cell>
          <cell r="M538">
            <v>137.4</v>
          </cell>
          <cell r="N538">
            <v>2610.6</v>
          </cell>
          <cell r="O538">
            <v>0.50501232303163834</v>
          </cell>
          <cell r="P538">
            <v>0.5</v>
          </cell>
          <cell r="Q538">
            <v>124.91</v>
          </cell>
        </row>
        <row r="539">
          <cell r="F539" t="str">
            <v>ESPECIALIZAÇÃO EM FISIOTERAPIA EM GERONTOLOGIA E GERIATRIA</v>
          </cell>
          <cell r="G539" t="str">
            <v>Saúde</v>
          </cell>
          <cell r="H539">
            <v>6</v>
          </cell>
          <cell r="I539">
            <v>13</v>
          </cell>
          <cell r="J539">
            <v>405.70905000000005</v>
          </cell>
          <cell r="K539">
            <v>5274.2176500000005</v>
          </cell>
          <cell r="L539">
            <v>0.45</v>
          </cell>
          <cell r="M539">
            <v>200.83</v>
          </cell>
          <cell r="N539">
            <v>2610.79</v>
          </cell>
          <cell r="O539">
            <v>0.50499009080522117</v>
          </cell>
          <cell r="P539">
            <v>0.5</v>
          </cell>
          <cell r="Q539">
            <v>182.57</v>
          </cell>
        </row>
        <row r="540">
          <cell r="F540" t="str">
            <v>ESPECIALIZAÇÃO EM FITOTERÁPICOS E SUPLEMENTAÇÃO NUTRICIONAL APLICADA AO ESPORTE</v>
          </cell>
          <cell r="G540" t="str">
            <v>Saúde</v>
          </cell>
          <cell r="H540">
            <v>6</v>
          </cell>
          <cell r="I540">
            <v>13</v>
          </cell>
          <cell r="J540">
            <v>405.70905000000005</v>
          </cell>
          <cell r="K540">
            <v>5274.2176500000005</v>
          </cell>
          <cell r="L540">
            <v>0.45</v>
          </cell>
          <cell r="M540">
            <v>200.83</v>
          </cell>
          <cell r="N540">
            <v>2610.79</v>
          </cell>
          <cell r="O540">
            <v>0.50499009080522117</v>
          </cell>
          <cell r="P540">
            <v>0.5</v>
          </cell>
          <cell r="Q540">
            <v>182.57</v>
          </cell>
        </row>
        <row r="541">
          <cell r="F541" t="str">
            <v>ESPECIALIZAÇÃO EM FUNDAMENTOS DA EDUCAÇÃO SOCIAL E ANTROPOLOGIA</v>
          </cell>
          <cell r="G541" t="str">
            <v>Humanas</v>
          </cell>
          <cell r="H541">
            <v>6</v>
          </cell>
          <cell r="I541">
            <v>13</v>
          </cell>
          <cell r="J541">
            <v>269.33202599999998</v>
          </cell>
          <cell r="K541">
            <v>3501.3163379999996</v>
          </cell>
          <cell r="L541">
            <v>0.45</v>
          </cell>
          <cell r="M541">
            <v>133.32</v>
          </cell>
          <cell r="N541">
            <v>1733.1599999999999</v>
          </cell>
          <cell r="O541">
            <v>0.50499759727794125</v>
          </cell>
          <cell r="P541">
            <v>0.5</v>
          </cell>
          <cell r="Q541">
            <v>121.2</v>
          </cell>
        </row>
        <row r="542">
          <cell r="F542" t="str">
            <v>ESPECIALIZAÇÃO EM GERENCIAMENTO DE PROJETOS DE ARQUITETURA</v>
          </cell>
          <cell r="G542" t="str">
            <v>Humanas</v>
          </cell>
          <cell r="H542">
            <v>6</v>
          </cell>
          <cell r="I542">
            <v>13</v>
          </cell>
          <cell r="J542">
            <v>269.33202599999998</v>
          </cell>
          <cell r="K542">
            <v>3501.3163379999996</v>
          </cell>
          <cell r="L542">
            <v>0.45</v>
          </cell>
          <cell r="M542">
            <v>133.32</v>
          </cell>
          <cell r="N542">
            <v>1733.1599999999999</v>
          </cell>
          <cell r="O542">
            <v>0.50499759727794125</v>
          </cell>
          <cell r="P542">
            <v>0.5</v>
          </cell>
          <cell r="Q542">
            <v>121.2</v>
          </cell>
        </row>
        <row r="543">
          <cell r="F543" t="str">
            <v>ESPECIALIZAÇÃO EM GERENCIAMENTO DE TI</v>
          </cell>
          <cell r="G543" t="str">
            <v>Negócios</v>
          </cell>
          <cell r="H543">
            <v>6</v>
          </cell>
          <cell r="I543">
            <v>13</v>
          </cell>
          <cell r="J543">
            <v>405.70905000000005</v>
          </cell>
          <cell r="K543">
            <v>5274.2176500000005</v>
          </cell>
          <cell r="L543">
            <v>0.45</v>
          </cell>
          <cell r="M543">
            <v>200.83</v>
          </cell>
          <cell r="N543">
            <v>2610.79</v>
          </cell>
          <cell r="O543">
            <v>0.50499009080522117</v>
          </cell>
          <cell r="P543">
            <v>0.5</v>
          </cell>
          <cell r="Q543">
            <v>182.57</v>
          </cell>
        </row>
        <row r="544">
          <cell r="F544" t="str">
            <v>ESPECIALIZAÇÃO EM GESTÃO CONTÁBIL</v>
          </cell>
          <cell r="G544" t="str">
            <v>Exatas</v>
          </cell>
          <cell r="H544">
            <v>12</v>
          </cell>
          <cell r="I544">
            <v>19</v>
          </cell>
          <cell r="J544">
            <v>184.28091221052631</v>
          </cell>
          <cell r="K544">
            <v>3501.3373320000001</v>
          </cell>
          <cell r="L544">
            <v>0.45</v>
          </cell>
          <cell r="M544">
            <v>91.22</v>
          </cell>
          <cell r="N544">
            <v>1733.18</v>
          </cell>
          <cell r="O544">
            <v>0.50499485320656334</v>
          </cell>
          <cell r="P544">
            <v>0.5</v>
          </cell>
          <cell r="Q544">
            <v>82.93</v>
          </cell>
        </row>
        <row r="545">
          <cell r="F545" t="str">
            <v>ESPECIALIZAÇÃO EM GESTÃO DA EDUCAÇÃO</v>
          </cell>
          <cell r="G545" t="str">
            <v>Humanas</v>
          </cell>
          <cell r="H545">
            <v>12</v>
          </cell>
          <cell r="I545">
            <v>19</v>
          </cell>
          <cell r="J545">
            <v>184.28091221052631</v>
          </cell>
          <cell r="K545">
            <v>3501.3373320000001</v>
          </cell>
          <cell r="L545">
            <v>0.45</v>
          </cell>
          <cell r="M545">
            <v>91.22</v>
          </cell>
          <cell r="N545">
            <v>1733.18</v>
          </cell>
          <cell r="O545">
            <v>0.50499485320656334</v>
          </cell>
          <cell r="P545">
            <v>0.5</v>
          </cell>
          <cell r="Q545">
            <v>82.93</v>
          </cell>
        </row>
        <row r="546">
          <cell r="F546" t="str">
            <v>ESPECIALIZAÇÃO EM GESTÃO DA QUALIDADE E AUDITORIA</v>
          </cell>
          <cell r="G546" t="str">
            <v>Humanas</v>
          </cell>
          <cell r="H546">
            <v>6</v>
          </cell>
          <cell r="I546">
            <v>13</v>
          </cell>
          <cell r="J546">
            <v>269.33202599999998</v>
          </cell>
          <cell r="K546">
            <v>3501.3163379999996</v>
          </cell>
          <cell r="L546">
            <v>0.45</v>
          </cell>
          <cell r="M546">
            <v>133.32</v>
          </cell>
          <cell r="N546">
            <v>1733.1599999999999</v>
          </cell>
          <cell r="O546">
            <v>0.50499759727794125</v>
          </cell>
          <cell r="P546">
            <v>0.5</v>
          </cell>
          <cell r="Q546">
            <v>121.2</v>
          </cell>
        </row>
        <row r="547">
          <cell r="F547" t="str">
            <v>ESPECIALIZAÇÃO EM GESTÃO DA QUALIDADE E SEGURANÇA ALIMENTAR</v>
          </cell>
          <cell r="G547" t="str">
            <v>Humanas</v>
          </cell>
          <cell r="H547">
            <v>6</v>
          </cell>
          <cell r="I547">
            <v>13</v>
          </cell>
          <cell r="J547">
            <v>269.33202599999998</v>
          </cell>
          <cell r="K547">
            <v>3501.3163379999996</v>
          </cell>
          <cell r="L547">
            <v>0.45</v>
          </cell>
          <cell r="M547">
            <v>133.32</v>
          </cell>
          <cell r="N547">
            <v>1733.1599999999999</v>
          </cell>
          <cell r="O547">
            <v>0.50499759727794125</v>
          </cell>
          <cell r="P547">
            <v>0.5</v>
          </cell>
          <cell r="Q547">
            <v>121.2</v>
          </cell>
        </row>
        <row r="548">
          <cell r="F548" t="str">
            <v>ESPECIALIZAÇÃO EM GESTÃO DA QUALIDADE E SEGURANÇA DOS ALIMENTOS</v>
          </cell>
          <cell r="G548" t="str">
            <v>Humanas</v>
          </cell>
          <cell r="H548">
            <v>12</v>
          </cell>
          <cell r="I548">
            <v>19</v>
          </cell>
          <cell r="J548">
            <v>184.28091221052631</v>
          </cell>
          <cell r="K548">
            <v>3501.3373320000001</v>
          </cell>
          <cell r="L548">
            <v>0.45</v>
          </cell>
          <cell r="M548">
            <v>91.22</v>
          </cell>
          <cell r="N548">
            <v>1733.18</v>
          </cell>
          <cell r="O548">
            <v>0.50499485320656334</v>
          </cell>
          <cell r="P548">
            <v>0.5</v>
          </cell>
          <cell r="Q548">
            <v>82.93</v>
          </cell>
        </row>
        <row r="549">
          <cell r="F549" t="str">
            <v>ESPECIALIZAÇÃO EM GESTÃO DA QUALIDADE EM PROCESSOS, PRODUTOS E SERVIÇOS</v>
          </cell>
          <cell r="G549" t="str">
            <v>Exatas</v>
          </cell>
          <cell r="H549">
            <v>12</v>
          </cell>
          <cell r="I549">
            <v>19</v>
          </cell>
          <cell r="J549">
            <v>184.28091221052631</v>
          </cell>
          <cell r="K549">
            <v>3501.3373320000001</v>
          </cell>
          <cell r="L549">
            <v>0.45</v>
          </cell>
          <cell r="M549">
            <v>91.22</v>
          </cell>
          <cell r="N549">
            <v>1733.18</v>
          </cell>
          <cell r="O549">
            <v>0.50499485320656334</v>
          </cell>
          <cell r="P549">
            <v>0.5</v>
          </cell>
          <cell r="Q549">
            <v>82.93</v>
          </cell>
        </row>
        <row r="550">
          <cell r="F550" t="str">
            <v>ESPECIALIZAÇÃO EM GESTÃO DA TECNOLOGIA DA INFORMAÇÃO</v>
          </cell>
          <cell r="G550" t="str">
            <v>Exatas</v>
          </cell>
          <cell r="H550">
            <v>12</v>
          </cell>
          <cell r="I550">
            <v>19</v>
          </cell>
          <cell r="J550">
            <v>277.58266800000001</v>
          </cell>
          <cell r="K550">
            <v>5274.0706920000002</v>
          </cell>
          <cell r="L550">
            <v>0.45</v>
          </cell>
          <cell r="M550">
            <v>137.4</v>
          </cell>
          <cell r="N550">
            <v>2610.6</v>
          </cell>
          <cell r="O550">
            <v>0.50501232303163834</v>
          </cell>
          <cell r="P550">
            <v>0.5</v>
          </cell>
          <cell r="Q550">
            <v>124.91</v>
          </cell>
        </row>
        <row r="551">
          <cell r="F551" t="str">
            <v>ESPECIALIZAÇÃO EM GESTÃO DE CONTRATOS PÚBLICOS</v>
          </cell>
          <cell r="G551" t="str">
            <v>Humanas</v>
          </cell>
          <cell r="H551">
            <v>12</v>
          </cell>
          <cell r="I551">
            <v>19</v>
          </cell>
          <cell r="J551">
            <v>184.28091221052631</v>
          </cell>
          <cell r="K551">
            <v>3501.3373320000001</v>
          </cell>
          <cell r="L551">
            <v>0.45</v>
          </cell>
          <cell r="M551">
            <v>91.22</v>
          </cell>
          <cell r="N551">
            <v>1733.18</v>
          </cell>
          <cell r="O551">
            <v>0.50499485320656334</v>
          </cell>
          <cell r="P551">
            <v>0.5</v>
          </cell>
          <cell r="Q551">
            <v>82.93</v>
          </cell>
        </row>
        <row r="552">
          <cell r="F552" t="str">
            <v>ESPECIALIZAÇÃO EM GESTÃO DE DEPARTAMENTO PESSOAL</v>
          </cell>
          <cell r="G552" t="str">
            <v>Exatas</v>
          </cell>
          <cell r="H552">
            <v>6</v>
          </cell>
          <cell r="I552">
            <v>13</v>
          </cell>
          <cell r="J552">
            <v>269.33202599999998</v>
          </cell>
          <cell r="K552">
            <v>3501.3163379999996</v>
          </cell>
          <cell r="L552">
            <v>0.45</v>
          </cell>
          <cell r="M552">
            <v>133.32</v>
          </cell>
          <cell r="N552">
            <v>1733.1599999999999</v>
          </cell>
          <cell r="O552">
            <v>0.50499759727794125</v>
          </cell>
          <cell r="P552">
            <v>0.5</v>
          </cell>
          <cell r="Q552">
            <v>121.2</v>
          </cell>
        </row>
        <row r="553">
          <cell r="F553" t="str">
            <v>ESPECIALIZAÇÃO EM GESTÃO DE PROJETOS COM ÊNFASE NA ARQUITETURA</v>
          </cell>
          <cell r="G553" t="str">
            <v>Humanas</v>
          </cell>
          <cell r="H553">
            <v>12</v>
          </cell>
          <cell r="I553">
            <v>19</v>
          </cell>
          <cell r="J553">
            <v>184.28091221052631</v>
          </cell>
          <cell r="K553">
            <v>3501.3373320000001</v>
          </cell>
          <cell r="L553">
            <v>0.45</v>
          </cell>
          <cell r="M553">
            <v>91.22</v>
          </cell>
          <cell r="N553">
            <v>1733.18</v>
          </cell>
          <cell r="O553">
            <v>0.50499485320656334</v>
          </cell>
          <cell r="P553">
            <v>0.5</v>
          </cell>
          <cell r="Q553">
            <v>82.93</v>
          </cell>
        </row>
        <row r="554">
          <cell r="F554" t="str">
            <v>ESPECIALIZAÇÃO EM GESTÃO E DIREITO APLICADO AOS SERVIÇOS DE SAÚDE PÚBLICA</v>
          </cell>
          <cell r="G554" t="str">
            <v>Humanas</v>
          </cell>
          <cell r="H554">
            <v>12</v>
          </cell>
          <cell r="I554">
            <v>19</v>
          </cell>
          <cell r="J554">
            <v>184.28091221052631</v>
          </cell>
          <cell r="K554">
            <v>3501.3373320000001</v>
          </cell>
          <cell r="L554">
            <v>0.45</v>
          </cell>
          <cell r="M554">
            <v>91.22</v>
          </cell>
          <cell r="N554">
            <v>1733.18</v>
          </cell>
          <cell r="O554">
            <v>0.50499485320656334</v>
          </cell>
          <cell r="P554">
            <v>0.5</v>
          </cell>
          <cell r="Q554">
            <v>82.93</v>
          </cell>
        </row>
        <row r="555">
          <cell r="F555" t="str">
            <v>ESPECIALIZAÇÃO EM GESTÃO E DIREITO DE SERVIÇOS DE SAÚDE PÚBLICA</v>
          </cell>
          <cell r="G555" t="str">
            <v>Humanas</v>
          </cell>
          <cell r="H555">
            <v>6</v>
          </cell>
          <cell r="I555">
            <v>13</v>
          </cell>
          <cell r="J555">
            <v>269.33202599999998</v>
          </cell>
          <cell r="K555">
            <v>3501.3163379999996</v>
          </cell>
          <cell r="L555">
            <v>0.45</v>
          </cell>
          <cell r="M555">
            <v>133.32</v>
          </cell>
          <cell r="N555">
            <v>1733.1599999999999</v>
          </cell>
          <cell r="O555">
            <v>0.50499759727794125</v>
          </cell>
          <cell r="P555">
            <v>0.5</v>
          </cell>
          <cell r="Q555">
            <v>121.2</v>
          </cell>
        </row>
        <row r="556">
          <cell r="F556" t="str">
            <v>ESPECIALIZAÇÃO EM GESTÃO EDUCACIONAL</v>
          </cell>
          <cell r="G556" t="str">
            <v>Humanas</v>
          </cell>
          <cell r="H556">
            <v>6</v>
          </cell>
          <cell r="I556">
            <v>13</v>
          </cell>
          <cell r="J556">
            <v>269.33202599999998</v>
          </cell>
          <cell r="K556">
            <v>3501.3163379999996</v>
          </cell>
          <cell r="L556">
            <v>0.45</v>
          </cell>
          <cell r="M556">
            <v>133.32</v>
          </cell>
          <cell r="N556">
            <v>1733.1599999999999</v>
          </cell>
          <cell r="O556">
            <v>0.50499759727794125</v>
          </cell>
          <cell r="P556">
            <v>0.5</v>
          </cell>
          <cell r="Q556">
            <v>121.2</v>
          </cell>
        </row>
        <row r="557">
          <cell r="F557" t="str">
            <v>ESPECIALIZAÇÃO EM GESTÃO EM ENGENHARIA DE PRODUÇÃO</v>
          </cell>
          <cell r="G557" t="str">
            <v>Exatas</v>
          </cell>
          <cell r="H557">
            <v>6</v>
          </cell>
          <cell r="I557">
            <v>13</v>
          </cell>
          <cell r="J557">
            <v>269.33202599999998</v>
          </cell>
          <cell r="K557">
            <v>3501.3163379999996</v>
          </cell>
          <cell r="L557">
            <v>0.45</v>
          </cell>
          <cell r="M557">
            <v>133.32</v>
          </cell>
          <cell r="N557">
            <v>1733.1599999999999</v>
          </cell>
          <cell r="O557">
            <v>0.50499759727794125</v>
          </cell>
          <cell r="P557">
            <v>0.5</v>
          </cell>
          <cell r="Q557">
            <v>121.2</v>
          </cell>
        </row>
        <row r="558">
          <cell r="F558" t="str">
            <v>ESPECIALIZAÇÃO EM GESTÃO EM PROCESSOS GERENCIAIS</v>
          </cell>
          <cell r="G558" t="str">
            <v>Negócios</v>
          </cell>
          <cell r="H558">
            <v>12</v>
          </cell>
          <cell r="I558">
            <v>19</v>
          </cell>
          <cell r="J558">
            <v>184.28091221052631</v>
          </cell>
          <cell r="K558">
            <v>3501.3373320000001</v>
          </cell>
          <cell r="L558">
            <v>0.45</v>
          </cell>
          <cell r="M558">
            <v>91.22</v>
          </cell>
          <cell r="N558">
            <v>1733.18</v>
          </cell>
          <cell r="O558">
            <v>0.50499485320656334</v>
          </cell>
          <cell r="P558">
            <v>0.5</v>
          </cell>
          <cell r="Q558">
            <v>82.93</v>
          </cell>
        </row>
        <row r="559">
          <cell r="F559" t="str">
            <v>ESPECIALIZAÇÃO EM GESTÃO EM SAÚDE PÚBLICA</v>
          </cell>
          <cell r="G559" t="str">
            <v>Saúde</v>
          </cell>
          <cell r="H559">
            <v>12</v>
          </cell>
          <cell r="I559">
            <v>19</v>
          </cell>
          <cell r="J559">
            <v>277.58266800000001</v>
          </cell>
          <cell r="K559">
            <v>5274.0706920000002</v>
          </cell>
          <cell r="L559">
            <v>0.45</v>
          </cell>
          <cell r="M559">
            <v>137.4</v>
          </cell>
          <cell r="N559">
            <v>2610.6</v>
          </cell>
          <cell r="O559">
            <v>0.50501232303163834</v>
          </cell>
          <cell r="P559">
            <v>0.5</v>
          </cell>
          <cell r="Q559">
            <v>124.91</v>
          </cell>
        </row>
        <row r="560">
          <cell r="F560" t="str">
            <v>ESPECIALIZAÇÃO EM GESTÃO ESCOLAR</v>
          </cell>
          <cell r="G560" t="str">
            <v>Humanas</v>
          </cell>
          <cell r="H560">
            <v>12</v>
          </cell>
          <cell r="I560">
            <v>19</v>
          </cell>
          <cell r="J560">
            <v>184.28091221052631</v>
          </cell>
          <cell r="K560">
            <v>3501.3373320000001</v>
          </cell>
          <cell r="L560">
            <v>0.45</v>
          </cell>
          <cell r="M560">
            <v>91.22</v>
          </cell>
          <cell r="N560">
            <v>1733.18</v>
          </cell>
          <cell r="O560">
            <v>0.50499485320656334</v>
          </cell>
          <cell r="P560">
            <v>0.5</v>
          </cell>
          <cell r="Q560">
            <v>82.93</v>
          </cell>
        </row>
        <row r="561">
          <cell r="F561" t="str">
            <v>ESPECIALIZAÇÃO EM GESTÃO PEDAGÓGICA NO ENSINO SUPERIOR</v>
          </cell>
          <cell r="G561" t="str">
            <v>Humanas</v>
          </cell>
          <cell r="H561">
            <v>6</v>
          </cell>
          <cell r="I561">
            <v>13</v>
          </cell>
          <cell r="J561">
            <v>269.33202599999998</v>
          </cell>
          <cell r="K561">
            <v>3501.3163379999996</v>
          </cell>
          <cell r="L561">
            <v>0.45</v>
          </cell>
          <cell r="M561">
            <v>133.32</v>
          </cell>
          <cell r="N561">
            <v>1733.1599999999999</v>
          </cell>
          <cell r="O561">
            <v>0.50499759727794125</v>
          </cell>
          <cell r="P561">
            <v>0.5</v>
          </cell>
          <cell r="Q561">
            <v>121.2</v>
          </cell>
        </row>
        <row r="562">
          <cell r="F562" t="str">
            <v>ESPECIALIZAÇÃO EM INFLUENCIADOR DIGITAL</v>
          </cell>
          <cell r="G562" t="str">
            <v>Humanas</v>
          </cell>
          <cell r="H562">
            <v>6</v>
          </cell>
          <cell r="I562">
            <v>13</v>
          </cell>
          <cell r="J562">
            <v>269.33202599999998</v>
          </cell>
          <cell r="K562">
            <v>3501.3163379999996</v>
          </cell>
          <cell r="L562">
            <v>0.45</v>
          </cell>
          <cell r="M562">
            <v>133.32</v>
          </cell>
          <cell r="N562">
            <v>1733.1599999999999</v>
          </cell>
          <cell r="O562">
            <v>0.50499759727794125</v>
          </cell>
          <cell r="P562">
            <v>0.5</v>
          </cell>
          <cell r="Q562">
            <v>121.2</v>
          </cell>
        </row>
        <row r="563">
          <cell r="F563" t="str">
            <v>ESPECIALIZAÇÃO EM INOVAÇÃO DE MÍDIAS DIGITAIS</v>
          </cell>
          <cell r="G563" t="str">
            <v>Humanas</v>
          </cell>
          <cell r="H563">
            <v>6</v>
          </cell>
          <cell r="I563">
            <v>13</v>
          </cell>
          <cell r="J563">
            <v>269.33202599999998</v>
          </cell>
          <cell r="K563">
            <v>3501.3163379999996</v>
          </cell>
          <cell r="L563">
            <v>0.45</v>
          </cell>
          <cell r="M563">
            <v>133.32</v>
          </cell>
          <cell r="N563">
            <v>1733.1599999999999</v>
          </cell>
          <cell r="O563">
            <v>0.50499759727794125</v>
          </cell>
          <cell r="P563">
            <v>0.5</v>
          </cell>
          <cell r="Q563">
            <v>121.2</v>
          </cell>
        </row>
        <row r="564">
          <cell r="F564" t="str">
            <v>ESPECIALIZAÇÃO EM INOVAÇÃO E TRANSFORMAÇÃO DIGITAL</v>
          </cell>
          <cell r="G564" t="str">
            <v>Exatas</v>
          </cell>
          <cell r="H564">
            <v>12</v>
          </cell>
          <cell r="I564">
            <v>19</v>
          </cell>
          <cell r="J564">
            <v>184.28091221052631</v>
          </cell>
          <cell r="K564">
            <v>3501.3373320000001</v>
          </cell>
          <cell r="L564">
            <v>0.45</v>
          </cell>
          <cell r="M564">
            <v>91.22</v>
          </cell>
          <cell r="N564">
            <v>1733.18</v>
          </cell>
          <cell r="O564">
            <v>0.50499485320656334</v>
          </cell>
          <cell r="P564">
            <v>0.5</v>
          </cell>
          <cell r="Q564">
            <v>82.93</v>
          </cell>
        </row>
        <row r="565">
          <cell r="F565" t="str">
            <v>ESPECIALIZAÇÃO EM INTELIGÊNCIA ARTIFICIAL APLICADA AO NEGÓCIO</v>
          </cell>
          <cell r="G565" t="str">
            <v>Exatas</v>
          </cell>
          <cell r="H565">
            <v>6</v>
          </cell>
          <cell r="I565">
            <v>13</v>
          </cell>
          <cell r="J565">
            <v>405.70905000000005</v>
          </cell>
          <cell r="K565">
            <v>5274.2176500000005</v>
          </cell>
          <cell r="L565">
            <v>0.45</v>
          </cell>
          <cell r="M565">
            <v>200.83</v>
          </cell>
          <cell r="N565">
            <v>2610.79</v>
          </cell>
          <cell r="O565">
            <v>0.50499009080522117</v>
          </cell>
          <cell r="P565">
            <v>0.5</v>
          </cell>
          <cell r="Q565">
            <v>182.57</v>
          </cell>
        </row>
        <row r="566">
          <cell r="F566" t="str">
            <v>ESPECIALIZAÇÃO EM INTELIGÊNCIA E SEGURANÇA PÚBLICA</v>
          </cell>
          <cell r="G566" t="str">
            <v>Humanas</v>
          </cell>
          <cell r="H566">
            <v>6</v>
          </cell>
          <cell r="I566">
            <v>13</v>
          </cell>
          <cell r="J566">
            <v>269.33202599999998</v>
          </cell>
          <cell r="K566">
            <v>3501.3163379999996</v>
          </cell>
          <cell r="L566">
            <v>0.45</v>
          </cell>
          <cell r="M566">
            <v>133.32</v>
          </cell>
          <cell r="N566">
            <v>1733.1599999999999</v>
          </cell>
          <cell r="O566">
            <v>0.50499759727794125</v>
          </cell>
          <cell r="P566">
            <v>0.5</v>
          </cell>
          <cell r="Q566">
            <v>121.2</v>
          </cell>
        </row>
        <row r="567">
          <cell r="F567" t="str">
            <v>ESPECIALIZAÇÃO EM INTERNET DAS COISAS (IOT): CONEXÃO ENTRE DISPOSITIVOS, MÁQUINAS E PESSOAS</v>
          </cell>
          <cell r="G567" t="str">
            <v>Exatas</v>
          </cell>
          <cell r="H567">
            <v>6</v>
          </cell>
          <cell r="I567">
            <v>13</v>
          </cell>
          <cell r="J567">
            <v>405.70905000000005</v>
          </cell>
          <cell r="K567">
            <v>5274.2176500000005</v>
          </cell>
          <cell r="L567">
            <v>0.45</v>
          </cell>
          <cell r="M567">
            <v>200.83</v>
          </cell>
          <cell r="N567">
            <v>2610.79</v>
          </cell>
          <cell r="O567">
            <v>0.50499009080522117</v>
          </cell>
          <cell r="P567">
            <v>0.5</v>
          </cell>
          <cell r="Q567">
            <v>182.57</v>
          </cell>
        </row>
        <row r="568">
          <cell r="F568" t="str">
            <v>ESPECIALIZAÇÃO EM IoT: INTERAÇÃO ENTRE DISPOSITIVOS, MÁQUINAS E PESSOAS</v>
          </cell>
          <cell r="G568" t="str">
            <v>Negócios</v>
          </cell>
          <cell r="H568">
            <v>12</v>
          </cell>
          <cell r="I568">
            <v>19</v>
          </cell>
          <cell r="J568">
            <v>277.58266800000001</v>
          </cell>
          <cell r="K568">
            <v>5274.0706920000002</v>
          </cell>
          <cell r="L568">
            <v>0.45</v>
          </cell>
          <cell r="M568">
            <v>137.4</v>
          </cell>
          <cell r="N568">
            <v>2610.6</v>
          </cell>
          <cell r="O568">
            <v>0.50501232303163834</v>
          </cell>
          <cell r="P568">
            <v>0.5</v>
          </cell>
          <cell r="Q568">
            <v>124.91</v>
          </cell>
        </row>
        <row r="569">
          <cell r="F569" t="str">
            <v>ESPECIALIZAÇÃO EM LEGISLAÇÃO ELEITORAL</v>
          </cell>
          <cell r="G569" t="str">
            <v>Humanas</v>
          </cell>
          <cell r="H569">
            <v>6</v>
          </cell>
          <cell r="I569">
            <v>13</v>
          </cell>
          <cell r="J569">
            <v>405.70905000000005</v>
          </cell>
          <cell r="K569">
            <v>5274.2176500000005</v>
          </cell>
          <cell r="L569">
            <v>0.45</v>
          </cell>
          <cell r="M569">
            <v>200.83</v>
          </cell>
          <cell r="N569">
            <v>2610.79</v>
          </cell>
          <cell r="O569">
            <v>0.50499009080522117</v>
          </cell>
          <cell r="P569">
            <v>0.5</v>
          </cell>
          <cell r="Q569">
            <v>182.57</v>
          </cell>
        </row>
        <row r="570">
          <cell r="F570" t="str">
            <v>ESPECIALIZAÇÃO EM LÍNGUA PORTUGUESA - REDAÇÃO</v>
          </cell>
          <cell r="G570" t="str">
            <v>Humanas</v>
          </cell>
          <cell r="H570">
            <v>6</v>
          </cell>
          <cell r="I570">
            <v>13</v>
          </cell>
          <cell r="J570">
            <v>269.33202599999998</v>
          </cell>
          <cell r="K570">
            <v>3501.3163379999996</v>
          </cell>
          <cell r="L570">
            <v>0.45</v>
          </cell>
          <cell r="M570">
            <v>133.32</v>
          </cell>
          <cell r="N570">
            <v>1733.1599999999999</v>
          </cell>
          <cell r="O570">
            <v>0.50499759727794125</v>
          </cell>
          <cell r="P570">
            <v>0.5</v>
          </cell>
          <cell r="Q570">
            <v>121.2</v>
          </cell>
        </row>
        <row r="571">
          <cell r="F571" t="str">
            <v>ESPECIALIZAÇÃO EM LÍNGUA PORTUGUESA: REDAÇÃO E ORATÓRIA</v>
          </cell>
          <cell r="G571" t="str">
            <v>Humanas</v>
          </cell>
          <cell r="H571">
            <v>12</v>
          </cell>
          <cell r="I571">
            <v>19</v>
          </cell>
          <cell r="J571">
            <v>184.28091221052631</v>
          </cell>
          <cell r="K571">
            <v>3501.3373320000001</v>
          </cell>
          <cell r="L571">
            <v>0.45</v>
          </cell>
          <cell r="M571">
            <v>91.22</v>
          </cell>
          <cell r="N571">
            <v>1733.18</v>
          </cell>
          <cell r="O571">
            <v>0.50499485320656334</v>
          </cell>
          <cell r="P571">
            <v>0.5</v>
          </cell>
          <cell r="Q571">
            <v>82.93</v>
          </cell>
        </row>
        <row r="572">
          <cell r="F572" t="str">
            <v>ESPECIALIZAÇÃO EM LUDICIDADE APLICADA EM EDUCAÇÃO</v>
          </cell>
          <cell r="G572" t="str">
            <v>Humanas</v>
          </cell>
          <cell r="H572">
            <v>6</v>
          </cell>
          <cell r="I572">
            <v>13</v>
          </cell>
          <cell r="J572">
            <v>269.33202599999998</v>
          </cell>
          <cell r="K572">
            <v>3501.3163379999996</v>
          </cell>
          <cell r="L572">
            <v>0.45</v>
          </cell>
          <cell r="M572">
            <v>133.32</v>
          </cell>
          <cell r="N572">
            <v>1733.1599999999999</v>
          </cell>
          <cell r="O572">
            <v>0.50499759727794125</v>
          </cell>
          <cell r="P572">
            <v>0.5</v>
          </cell>
          <cell r="Q572">
            <v>121.2</v>
          </cell>
        </row>
        <row r="573">
          <cell r="F573" t="str">
            <v>ESPECIALIZAÇÃO EM MARKETING</v>
          </cell>
          <cell r="G573" t="str">
            <v>Humanas</v>
          </cell>
          <cell r="H573">
            <v>6</v>
          </cell>
          <cell r="I573">
            <v>13</v>
          </cell>
          <cell r="J573">
            <v>269.33202599999998</v>
          </cell>
          <cell r="K573">
            <v>3501.3163379999996</v>
          </cell>
          <cell r="L573">
            <v>0.45</v>
          </cell>
          <cell r="M573">
            <v>133.32</v>
          </cell>
          <cell r="N573">
            <v>1733.1599999999999</v>
          </cell>
          <cell r="O573">
            <v>0.50499759727794125</v>
          </cell>
          <cell r="P573">
            <v>0.5</v>
          </cell>
          <cell r="Q573">
            <v>121.2</v>
          </cell>
        </row>
        <row r="574">
          <cell r="F574" t="str">
            <v>ESPECIALIZAÇÃO EM MARKETING DIGITAL E MÍDIAS SOCIAIS</v>
          </cell>
          <cell r="G574" t="str">
            <v>Humanas</v>
          </cell>
          <cell r="H574">
            <v>6</v>
          </cell>
          <cell r="I574">
            <v>13</v>
          </cell>
          <cell r="J574">
            <v>269.33202599999998</v>
          </cell>
          <cell r="K574">
            <v>3501.3163379999996</v>
          </cell>
          <cell r="L574">
            <v>0.45</v>
          </cell>
          <cell r="M574">
            <v>133.32</v>
          </cell>
          <cell r="N574">
            <v>1733.1599999999999</v>
          </cell>
          <cell r="O574">
            <v>0.50499759727794125</v>
          </cell>
          <cell r="P574">
            <v>0.5</v>
          </cell>
          <cell r="Q574">
            <v>121.2</v>
          </cell>
        </row>
        <row r="575">
          <cell r="F575" t="str">
            <v>ESPECIALIZAÇÃO EM MARKETING E MÍDIAS SOCIAIS</v>
          </cell>
          <cell r="G575" t="str">
            <v>Humanas</v>
          </cell>
          <cell r="H575">
            <v>12</v>
          </cell>
          <cell r="I575">
            <v>19</v>
          </cell>
          <cell r="J575">
            <v>184.28091221052631</v>
          </cell>
          <cell r="K575">
            <v>3501.3373320000001</v>
          </cell>
          <cell r="L575">
            <v>0.45</v>
          </cell>
          <cell r="M575">
            <v>91.22</v>
          </cell>
          <cell r="N575">
            <v>1733.18</v>
          </cell>
          <cell r="O575">
            <v>0.50499485320656334</v>
          </cell>
          <cell r="P575">
            <v>0.5</v>
          </cell>
          <cell r="Q575">
            <v>82.93</v>
          </cell>
        </row>
        <row r="576">
          <cell r="F576" t="str">
            <v>ESPECIALIZAÇÃO EM MARKETING E PUBLICIDADE</v>
          </cell>
          <cell r="G576" t="str">
            <v>Humanas</v>
          </cell>
          <cell r="H576">
            <v>12</v>
          </cell>
          <cell r="I576">
            <v>19</v>
          </cell>
          <cell r="J576">
            <v>184.28091221052631</v>
          </cell>
          <cell r="K576">
            <v>3501.3373320000001</v>
          </cell>
          <cell r="L576">
            <v>0.45</v>
          </cell>
          <cell r="M576">
            <v>91.22</v>
          </cell>
          <cell r="N576">
            <v>1733.18</v>
          </cell>
          <cell r="O576">
            <v>0.50499485320656334</v>
          </cell>
          <cell r="P576">
            <v>0.5</v>
          </cell>
          <cell r="Q576">
            <v>82.93</v>
          </cell>
        </row>
        <row r="577">
          <cell r="F577" t="str">
            <v>ESPECIALIZAÇÃO EM MEDIAÇÃO E GESTÃO DE CONFLITOS ESCOLAR</v>
          </cell>
          <cell r="G577" t="str">
            <v>Humanas</v>
          </cell>
          <cell r="H577">
            <v>12</v>
          </cell>
          <cell r="I577">
            <v>19</v>
          </cell>
          <cell r="J577">
            <v>184.28091221052631</v>
          </cell>
          <cell r="K577">
            <v>3501.3373320000001</v>
          </cell>
          <cell r="L577">
            <v>0.45</v>
          </cell>
          <cell r="M577">
            <v>91.22</v>
          </cell>
          <cell r="N577">
            <v>1733.18</v>
          </cell>
          <cell r="O577">
            <v>0.50499485320656334</v>
          </cell>
          <cell r="P577">
            <v>0.5</v>
          </cell>
          <cell r="Q577">
            <v>82.93</v>
          </cell>
        </row>
        <row r="578">
          <cell r="F578" t="str">
            <v>ESPECIALIZAÇÃO EM MENTORIA EM EDUCAÇÃO FINANCEIRA</v>
          </cell>
          <cell r="G578" t="str">
            <v>Humanas</v>
          </cell>
          <cell r="H578">
            <v>6</v>
          </cell>
          <cell r="I578">
            <v>13</v>
          </cell>
          <cell r="J578">
            <v>269.33202599999998</v>
          </cell>
          <cell r="K578">
            <v>3501.3163379999996</v>
          </cell>
          <cell r="L578">
            <v>0.45</v>
          </cell>
          <cell r="M578">
            <v>133.32</v>
          </cell>
          <cell r="N578">
            <v>1733.1599999999999</v>
          </cell>
          <cell r="O578">
            <v>0.50499759727794125</v>
          </cell>
          <cell r="P578">
            <v>0.5</v>
          </cell>
          <cell r="Q578">
            <v>121.2</v>
          </cell>
        </row>
        <row r="579">
          <cell r="F579" t="str">
            <v>ESPECIALIZAÇÃO EM METODOLOGIA DO ENS. A DISTÂNCIA</v>
          </cell>
          <cell r="G579" t="str">
            <v>Humanas</v>
          </cell>
          <cell r="H579">
            <v>12</v>
          </cell>
          <cell r="I579">
            <v>19</v>
          </cell>
          <cell r="J579">
            <v>184.28091221052631</v>
          </cell>
          <cell r="K579">
            <v>3501.3373320000001</v>
          </cell>
          <cell r="L579">
            <v>0.45</v>
          </cell>
          <cell r="M579">
            <v>91.22</v>
          </cell>
          <cell r="N579">
            <v>1733.18</v>
          </cell>
          <cell r="O579">
            <v>0.50499485320656334</v>
          </cell>
          <cell r="P579">
            <v>0.5</v>
          </cell>
          <cell r="Q579">
            <v>82.93</v>
          </cell>
        </row>
        <row r="580">
          <cell r="F580" t="str">
            <v>ESPECIALIZAÇÃO EM METODOLOGIA DO ENSINO DA LÍNGUA PORTUGUESA</v>
          </cell>
          <cell r="G580" t="str">
            <v>Humanas</v>
          </cell>
          <cell r="H580">
            <v>6</v>
          </cell>
          <cell r="I580">
            <v>13</v>
          </cell>
          <cell r="J580">
            <v>269.33202599999998</v>
          </cell>
          <cell r="K580">
            <v>3501.3163379999996</v>
          </cell>
          <cell r="L580">
            <v>0.45</v>
          </cell>
          <cell r="M580">
            <v>133.32</v>
          </cell>
          <cell r="N580">
            <v>1733.1599999999999</v>
          </cell>
          <cell r="O580">
            <v>0.50499759727794125</v>
          </cell>
          <cell r="P580">
            <v>0.5</v>
          </cell>
          <cell r="Q580">
            <v>121.2</v>
          </cell>
        </row>
        <row r="581">
          <cell r="F581" t="str">
            <v>ESPECIALIZAÇÃO EM METODOLOGIA E DIDÁTICA DO ENSINO DA GEOGRAFIA</v>
          </cell>
          <cell r="G581" t="str">
            <v>Humanas</v>
          </cell>
          <cell r="H581">
            <v>6</v>
          </cell>
          <cell r="I581">
            <v>13</v>
          </cell>
          <cell r="J581">
            <v>269.33202599999998</v>
          </cell>
          <cell r="K581">
            <v>3501.3163379999996</v>
          </cell>
          <cell r="L581">
            <v>0.45</v>
          </cell>
          <cell r="M581">
            <v>133.32</v>
          </cell>
          <cell r="N581">
            <v>1733.1599999999999</v>
          </cell>
          <cell r="O581">
            <v>0.50499759727794125</v>
          </cell>
          <cell r="P581">
            <v>0.5</v>
          </cell>
          <cell r="Q581">
            <v>121.2</v>
          </cell>
        </row>
        <row r="582">
          <cell r="F582" t="str">
            <v>ESPECIALIZAÇÃO EM METODOLOGIAS ATIVAS</v>
          </cell>
          <cell r="G582" t="str">
            <v>Humanas</v>
          </cell>
          <cell r="H582">
            <v>12</v>
          </cell>
          <cell r="I582">
            <v>19</v>
          </cell>
          <cell r="J582">
            <v>184.28091221052631</v>
          </cell>
          <cell r="K582">
            <v>3501.3373320000001</v>
          </cell>
          <cell r="L582">
            <v>0.45</v>
          </cell>
          <cell r="M582">
            <v>91.22</v>
          </cell>
          <cell r="N582">
            <v>1733.18</v>
          </cell>
          <cell r="O582">
            <v>0.50499485320656334</v>
          </cell>
          <cell r="P582">
            <v>0.5</v>
          </cell>
          <cell r="Q582">
            <v>82.93</v>
          </cell>
        </row>
        <row r="583">
          <cell r="F583" t="str">
            <v>ESPECIALIZAÇÃO EM METODOLOGIAS ATIVAS COMO PRÁTICAS INOVADORAS NA EDUCAÇÃO</v>
          </cell>
          <cell r="G583" t="str">
            <v>Humanas</v>
          </cell>
          <cell r="H583">
            <v>6</v>
          </cell>
          <cell r="I583">
            <v>13</v>
          </cell>
          <cell r="J583">
            <v>269.33202599999998</v>
          </cell>
          <cell r="K583">
            <v>3501.3163379999996</v>
          </cell>
          <cell r="L583">
            <v>0.45</v>
          </cell>
          <cell r="M583">
            <v>133.32</v>
          </cell>
          <cell r="N583">
            <v>1733.1599999999999</v>
          </cell>
          <cell r="O583">
            <v>0.50499759727794125</v>
          </cell>
          <cell r="P583">
            <v>0.5</v>
          </cell>
          <cell r="Q583">
            <v>121.2</v>
          </cell>
        </row>
        <row r="584">
          <cell r="F584" t="str">
            <v>ESPECIALIZAÇÃO EM METODOLOGIAS DA EDUCAÇÃO A DISTÂNCIA</v>
          </cell>
          <cell r="G584" t="str">
            <v>Humanas</v>
          </cell>
          <cell r="H584">
            <v>6</v>
          </cell>
          <cell r="I584">
            <v>13</v>
          </cell>
          <cell r="J584">
            <v>269.33202599999998</v>
          </cell>
          <cell r="K584">
            <v>3501.3163379999996</v>
          </cell>
          <cell r="L584">
            <v>0.45</v>
          </cell>
          <cell r="M584">
            <v>133.32</v>
          </cell>
          <cell r="N584">
            <v>1733.1599999999999</v>
          </cell>
          <cell r="O584">
            <v>0.50499759727794125</v>
          </cell>
          <cell r="P584">
            <v>0.5</v>
          </cell>
          <cell r="Q584">
            <v>121.2</v>
          </cell>
        </row>
        <row r="585">
          <cell r="F585" t="str">
            <v>ESPECIALIZAÇÃO EM MICROBIOLOGIA E PARASITOLOGIA CLÍNICA</v>
          </cell>
          <cell r="G585" t="str">
            <v>Saúde</v>
          </cell>
          <cell r="H585">
            <v>6</v>
          </cell>
          <cell r="I585">
            <v>13</v>
          </cell>
          <cell r="J585">
            <v>405.70905000000005</v>
          </cell>
          <cell r="K585">
            <v>5274.2176500000005</v>
          </cell>
          <cell r="L585">
            <v>0.45</v>
          </cell>
          <cell r="M585">
            <v>200.83</v>
          </cell>
          <cell r="N585">
            <v>2610.79</v>
          </cell>
          <cell r="O585">
            <v>0.50499009080522117</v>
          </cell>
          <cell r="P585">
            <v>0.5</v>
          </cell>
          <cell r="Q585">
            <v>182.57</v>
          </cell>
        </row>
        <row r="586">
          <cell r="F586" t="str">
            <v>ESPECIALIZAÇÃO EM MICROBIOLOGIA, PARASITOLOGIA E MICOLOGIA CLÍNICA</v>
          </cell>
          <cell r="G586" t="str">
            <v>Saúde</v>
          </cell>
          <cell r="H586">
            <v>12</v>
          </cell>
          <cell r="I586">
            <v>19</v>
          </cell>
          <cell r="J586">
            <v>277.58266800000001</v>
          </cell>
          <cell r="K586">
            <v>5274.0706920000002</v>
          </cell>
          <cell r="L586">
            <v>0.45</v>
          </cell>
          <cell r="M586">
            <v>137.4</v>
          </cell>
          <cell r="N586">
            <v>2610.6</v>
          </cell>
          <cell r="O586">
            <v>0.50501232303163834</v>
          </cell>
          <cell r="P586">
            <v>0.5</v>
          </cell>
          <cell r="Q586">
            <v>124.91</v>
          </cell>
        </row>
        <row r="587">
          <cell r="F587" t="str">
            <v>ESPECIALIZAÇÃO EM NEUROEDUCAÇÃO</v>
          </cell>
          <cell r="G587" t="str">
            <v>Humanas</v>
          </cell>
          <cell r="H587">
            <v>12</v>
          </cell>
          <cell r="I587">
            <v>19</v>
          </cell>
          <cell r="J587">
            <v>184.28091221052631</v>
          </cell>
          <cell r="K587">
            <v>3501.3373320000001</v>
          </cell>
          <cell r="L587">
            <v>0.45</v>
          </cell>
          <cell r="M587">
            <v>91.22</v>
          </cell>
          <cell r="N587">
            <v>1733.18</v>
          </cell>
          <cell r="O587">
            <v>0.50499485320656334</v>
          </cell>
          <cell r="P587">
            <v>0.5</v>
          </cell>
          <cell r="Q587">
            <v>82.93</v>
          </cell>
        </row>
        <row r="588">
          <cell r="F588" t="str">
            <v>ESPECIALIZAÇÃO EM NOVAS MÍDIAS</v>
          </cell>
          <cell r="G588" t="str">
            <v>Exatas</v>
          </cell>
          <cell r="H588">
            <v>12</v>
          </cell>
          <cell r="I588">
            <v>19</v>
          </cell>
          <cell r="J588">
            <v>184.28091221052631</v>
          </cell>
          <cell r="K588">
            <v>3501.3373320000001</v>
          </cell>
          <cell r="L588">
            <v>0.45</v>
          </cell>
          <cell r="M588">
            <v>91.22</v>
          </cell>
          <cell r="N588">
            <v>1733.18</v>
          </cell>
          <cell r="O588">
            <v>0.50499485320656334</v>
          </cell>
          <cell r="P588">
            <v>0.5</v>
          </cell>
          <cell r="Q588">
            <v>82.93</v>
          </cell>
        </row>
        <row r="589">
          <cell r="F589" t="str">
            <v>ESPECIALIZAÇÃO EM NUTRIÇÃO CLÍNICA</v>
          </cell>
          <cell r="G589" t="str">
            <v>Saúde</v>
          </cell>
          <cell r="H589">
            <v>12</v>
          </cell>
          <cell r="I589">
            <v>19</v>
          </cell>
          <cell r="J589">
            <v>277.58266800000001</v>
          </cell>
          <cell r="K589">
            <v>5274.0706920000002</v>
          </cell>
          <cell r="L589">
            <v>0.45</v>
          </cell>
          <cell r="M589">
            <v>137.4</v>
          </cell>
          <cell r="N589">
            <v>2610.6</v>
          </cell>
          <cell r="O589">
            <v>0.50501232303163834</v>
          </cell>
          <cell r="P589">
            <v>0.5</v>
          </cell>
          <cell r="Q589">
            <v>124.91</v>
          </cell>
        </row>
        <row r="590">
          <cell r="F590" t="str">
            <v>ESPECIALIZAÇÃO EM NUTRIÇÃO E DIETOTERAPIA</v>
          </cell>
          <cell r="G590" t="str">
            <v>Saúde</v>
          </cell>
          <cell r="H590">
            <v>6</v>
          </cell>
          <cell r="I590">
            <v>13</v>
          </cell>
          <cell r="J590">
            <v>405.70905000000005</v>
          </cell>
          <cell r="K590">
            <v>5274.2176500000005</v>
          </cell>
          <cell r="L590">
            <v>0.45</v>
          </cell>
          <cell r="M590">
            <v>200.83</v>
          </cell>
          <cell r="N590">
            <v>2610.79</v>
          </cell>
          <cell r="O590">
            <v>0.50499009080522117</v>
          </cell>
          <cell r="P590">
            <v>0.5</v>
          </cell>
          <cell r="Q590">
            <v>182.57</v>
          </cell>
        </row>
        <row r="591">
          <cell r="F591" t="str">
            <v>ESPECIALIZAÇÃO EM NUTRIÇÃO E ESPORTES</v>
          </cell>
          <cell r="G591" t="str">
            <v>Saúde</v>
          </cell>
          <cell r="H591">
            <v>6</v>
          </cell>
          <cell r="I591">
            <v>13</v>
          </cell>
          <cell r="J591">
            <v>405.70905000000005</v>
          </cell>
          <cell r="K591">
            <v>5274.2176500000005</v>
          </cell>
          <cell r="L591">
            <v>0.45</v>
          </cell>
          <cell r="M591">
            <v>200.83</v>
          </cell>
          <cell r="N591">
            <v>2610.79</v>
          </cell>
          <cell r="O591">
            <v>0.50499009080522117</v>
          </cell>
          <cell r="P591">
            <v>0.5</v>
          </cell>
          <cell r="Q591">
            <v>182.57</v>
          </cell>
        </row>
        <row r="592">
          <cell r="F592" t="str">
            <v>ESPECIALIZAÇÃO EM NUTRIÇÃO E POLÍTICAS DE NUTRIÇÃO</v>
          </cell>
          <cell r="G592" t="str">
            <v>Saúde</v>
          </cell>
          <cell r="H592">
            <v>6</v>
          </cell>
          <cell r="I592">
            <v>13</v>
          </cell>
          <cell r="J592">
            <v>405.70905000000005</v>
          </cell>
          <cell r="K592">
            <v>5274.2176500000005</v>
          </cell>
          <cell r="L592">
            <v>0.45</v>
          </cell>
          <cell r="M592">
            <v>200.83</v>
          </cell>
          <cell r="N592">
            <v>2610.79</v>
          </cell>
          <cell r="O592">
            <v>0.50499009080522117</v>
          </cell>
          <cell r="P592">
            <v>0.5</v>
          </cell>
          <cell r="Q592">
            <v>182.57</v>
          </cell>
        </row>
        <row r="593">
          <cell r="F593" t="str">
            <v>ESPECIALIZAÇÃO EM NUTRIÇÃO E SAÚDE PÚBLICA</v>
          </cell>
          <cell r="G593" t="str">
            <v>Saúde</v>
          </cell>
          <cell r="H593">
            <v>12</v>
          </cell>
          <cell r="I593">
            <v>19</v>
          </cell>
          <cell r="J593">
            <v>277.58266800000001</v>
          </cell>
          <cell r="K593">
            <v>5274.0706920000002</v>
          </cell>
          <cell r="L593">
            <v>0.45</v>
          </cell>
          <cell r="M593">
            <v>137.4</v>
          </cell>
          <cell r="N593">
            <v>2610.6</v>
          </cell>
          <cell r="O593">
            <v>0.50501232303163834</v>
          </cell>
          <cell r="P593">
            <v>0.5</v>
          </cell>
          <cell r="Q593">
            <v>124.91</v>
          </cell>
        </row>
        <row r="594">
          <cell r="F594" t="str">
            <v>ESPECIALIZAÇÃO EM NUTRIÇÃO ESPORTIVA</v>
          </cell>
          <cell r="G594" t="str">
            <v>Saúde</v>
          </cell>
          <cell r="H594">
            <v>12</v>
          </cell>
          <cell r="I594">
            <v>19</v>
          </cell>
          <cell r="J594">
            <v>277.58266800000001</v>
          </cell>
          <cell r="K594">
            <v>5274.0706920000002</v>
          </cell>
          <cell r="L594">
            <v>0.45</v>
          </cell>
          <cell r="M594">
            <v>137.4</v>
          </cell>
          <cell r="N594">
            <v>2610.6</v>
          </cell>
          <cell r="O594">
            <v>0.50501232303163834</v>
          </cell>
          <cell r="P594">
            <v>0.5</v>
          </cell>
          <cell r="Q594">
            <v>124.91</v>
          </cell>
        </row>
        <row r="595">
          <cell r="F595" t="str">
            <v>ESPECIALIZAÇÃO EM ORIENTAÇÃO E SUPERVISÃO ESCOLAR</v>
          </cell>
          <cell r="G595" t="str">
            <v>Humanas</v>
          </cell>
          <cell r="H595">
            <v>12</v>
          </cell>
          <cell r="I595">
            <v>19</v>
          </cell>
          <cell r="J595">
            <v>184.28091221052631</v>
          </cell>
          <cell r="K595">
            <v>3501.3373320000001</v>
          </cell>
          <cell r="L595">
            <v>0.45</v>
          </cell>
          <cell r="M595">
            <v>91.22</v>
          </cell>
          <cell r="N595">
            <v>1733.18</v>
          </cell>
          <cell r="O595">
            <v>0.50499485320656334</v>
          </cell>
          <cell r="P595">
            <v>0.5</v>
          </cell>
          <cell r="Q595">
            <v>82.93</v>
          </cell>
        </row>
        <row r="596">
          <cell r="F596" t="str">
            <v>ESPECIALIZAÇÃO EM PEDAGOGIA EMPRESARIAL</v>
          </cell>
          <cell r="G596" t="str">
            <v>Humanas</v>
          </cell>
          <cell r="H596">
            <v>12</v>
          </cell>
          <cell r="I596">
            <v>19</v>
          </cell>
          <cell r="J596">
            <v>184.28091221052631</v>
          </cell>
          <cell r="K596">
            <v>3501.3373320000001</v>
          </cell>
          <cell r="L596">
            <v>0.45</v>
          </cell>
          <cell r="M596">
            <v>91.22</v>
          </cell>
          <cell r="N596">
            <v>1733.18</v>
          </cell>
          <cell r="O596">
            <v>0.50499485320656334</v>
          </cell>
          <cell r="P596">
            <v>0.5</v>
          </cell>
          <cell r="Q596">
            <v>82.93</v>
          </cell>
        </row>
        <row r="597">
          <cell r="F597" t="str">
            <v>ESPECIALIZAÇÃO EM PEDAGOGIA NAS ORGANIZAÇÕES</v>
          </cell>
          <cell r="G597" t="str">
            <v>Humanas</v>
          </cell>
          <cell r="H597">
            <v>6</v>
          </cell>
          <cell r="I597">
            <v>13</v>
          </cell>
          <cell r="J597">
            <v>269.33202599999998</v>
          </cell>
          <cell r="K597">
            <v>3501.3163379999996</v>
          </cell>
          <cell r="L597">
            <v>0.45</v>
          </cell>
          <cell r="M597">
            <v>133.32</v>
          </cell>
          <cell r="N597">
            <v>1733.1599999999999</v>
          </cell>
          <cell r="O597">
            <v>0.50499759727794125</v>
          </cell>
          <cell r="P597">
            <v>0.5</v>
          </cell>
          <cell r="Q597">
            <v>121.2</v>
          </cell>
        </row>
        <row r="598">
          <cell r="F598" t="str">
            <v>ESPECIALIZAÇÃO EM PLANEJAMENTO E GESTÃO EDUCACIONAL</v>
          </cell>
          <cell r="G598" t="str">
            <v>Humanas</v>
          </cell>
          <cell r="H598">
            <v>6</v>
          </cell>
          <cell r="I598">
            <v>13</v>
          </cell>
          <cell r="J598">
            <v>269.33202599999998</v>
          </cell>
          <cell r="K598">
            <v>3501.3163379999996</v>
          </cell>
          <cell r="L598">
            <v>0.45</v>
          </cell>
          <cell r="M598">
            <v>133.32</v>
          </cell>
          <cell r="N598">
            <v>1733.1599999999999</v>
          </cell>
          <cell r="O598">
            <v>0.50499759727794125</v>
          </cell>
          <cell r="P598">
            <v>0.5</v>
          </cell>
          <cell r="Q598">
            <v>121.2</v>
          </cell>
        </row>
        <row r="599">
          <cell r="F599" t="str">
            <v>ESPECIALIZAÇÃO EM PODOLOGIA</v>
          </cell>
          <cell r="G599" t="str">
            <v>Saúde</v>
          </cell>
          <cell r="H599">
            <v>6</v>
          </cell>
          <cell r="I599">
            <v>13</v>
          </cell>
          <cell r="J599">
            <v>405.70905000000005</v>
          </cell>
          <cell r="K599">
            <v>5274.2176500000005</v>
          </cell>
          <cell r="L599">
            <v>0.45</v>
          </cell>
          <cell r="M599">
            <v>200.83</v>
          </cell>
          <cell r="N599">
            <v>2610.79</v>
          </cell>
          <cell r="O599">
            <v>0.50499009080522117</v>
          </cell>
          <cell r="P599">
            <v>0.5</v>
          </cell>
          <cell r="Q599">
            <v>182.57</v>
          </cell>
        </row>
        <row r="600">
          <cell r="F600" t="str">
            <v>ESPECIALIZAÇÃO EM PODOLOGIA CLÍNICA</v>
          </cell>
          <cell r="G600" t="str">
            <v>Saúde</v>
          </cell>
          <cell r="H600">
            <v>12</v>
          </cell>
          <cell r="I600">
            <v>19</v>
          </cell>
          <cell r="J600">
            <v>277.58266800000001</v>
          </cell>
          <cell r="K600">
            <v>5274.0706920000002</v>
          </cell>
          <cell r="L600">
            <v>0.45</v>
          </cell>
          <cell r="M600">
            <v>137.4</v>
          </cell>
          <cell r="N600">
            <v>2610.6</v>
          </cell>
          <cell r="O600">
            <v>0.50501232303163834</v>
          </cell>
          <cell r="P600">
            <v>0.5</v>
          </cell>
          <cell r="Q600">
            <v>124.91</v>
          </cell>
        </row>
        <row r="601">
          <cell r="F601" t="str">
            <v>ESPECIALIZAÇÃO EM PORTUGUÊS JURÍDICO</v>
          </cell>
          <cell r="G601" t="str">
            <v>Humanas</v>
          </cell>
          <cell r="H601">
            <v>12</v>
          </cell>
          <cell r="I601">
            <v>19</v>
          </cell>
          <cell r="J601">
            <v>184.28091221052631</v>
          </cell>
          <cell r="K601">
            <v>3501.3373320000001</v>
          </cell>
          <cell r="L601">
            <v>0.45</v>
          </cell>
          <cell r="M601">
            <v>91.22</v>
          </cell>
          <cell r="N601">
            <v>1733.18</v>
          </cell>
          <cell r="O601">
            <v>0.50499485320656334</v>
          </cell>
          <cell r="P601">
            <v>0.5</v>
          </cell>
          <cell r="Q601">
            <v>82.93</v>
          </cell>
        </row>
        <row r="602">
          <cell r="F602" t="str">
            <v>ESPECIALIZAÇÃO EM PRÁTICAS DE LETRAMENTO E ALFABETIZAÇÃO</v>
          </cell>
          <cell r="G602" t="str">
            <v>Humanas</v>
          </cell>
          <cell r="H602">
            <v>6</v>
          </cell>
          <cell r="I602">
            <v>13</v>
          </cell>
          <cell r="J602">
            <v>269.33202599999998</v>
          </cell>
          <cell r="K602">
            <v>3501.3163379999996</v>
          </cell>
          <cell r="L602">
            <v>0.45</v>
          </cell>
          <cell r="M602">
            <v>133.32</v>
          </cell>
          <cell r="N602">
            <v>1733.1599999999999</v>
          </cell>
          <cell r="O602">
            <v>0.50499759727794125</v>
          </cell>
          <cell r="P602">
            <v>0.5</v>
          </cell>
          <cell r="Q602">
            <v>121.2</v>
          </cell>
        </row>
        <row r="603">
          <cell r="F603" t="str">
            <v>ESPECIALIZAÇÃO EM PRÁTICAS MEDIADORAS DE GESTÃO DE CONFLITOS ESCOLAR</v>
          </cell>
          <cell r="G603" t="str">
            <v>Humanas</v>
          </cell>
          <cell r="H603">
            <v>6</v>
          </cell>
          <cell r="I603">
            <v>13</v>
          </cell>
          <cell r="J603">
            <v>269.33202599999998</v>
          </cell>
          <cell r="K603">
            <v>3501.3163379999996</v>
          </cell>
          <cell r="L603">
            <v>0.45</v>
          </cell>
          <cell r="M603">
            <v>133.32</v>
          </cell>
          <cell r="N603">
            <v>1733.1599999999999</v>
          </cell>
          <cell r="O603">
            <v>0.50499759727794125</v>
          </cell>
          <cell r="P603">
            <v>0.5</v>
          </cell>
          <cell r="Q603">
            <v>121.2</v>
          </cell>
        </row>
        <row r="604">
          <cell r="F604" t="str">
            <v>ESPECIALIZAÇÃO EM PRESCRIÇÃO DE FITOTERÁPICOS E SUPLEMENTAÇÃO NUTRICIONAL, CLÍNICA E ESPORTIVA</v>
          </cell>
          <cell r="G604" t="str">
            <v>Saúde</v>
          </cell>
          <cell r="H604">
            <v>12</v>
          </cell>
          <cell r="I604">
            <v>19</v>
          </cell>
          <cell r="J604">
            <v>277.58266800000001</v>
          </cell>
          <cell r="K604">
            <v>5274.0706920000002</v>
          </cell>
          <cell r="L604">
            <v>0.45</v>
          </cell>
          <cell r="M604">
            <v>137.4</v>
          </cell>
          <cell r="N604">
            <v>2610.6</v>
          </cell>
          <cell r="O604">
            <v>0.50501232303163834</v>
          </cell>
          <cell r="P604">
            <v>0.5</v>
          </cell>
          <cell r="Q604">
            <v>124.91</v>
          </cell>
        </row>
        <row r="605">
          <cell r="F605" t="str">
            <v>ESPECIALIZAÇÃO EM PROCESSOS GERENCIAIS</v>
          </cell>
          <cell r="G605" t="str">
            <v>Exatas</v>
          </cell>
          <cell r="H605">
            <v>6</v>
          </cell>
          <cell r="I605">
            <v>13</v>
          </cell>
          <cell r="J605">
            <v>269.33202599999998</v>
          </cell>
          <cell r="K605">
            <v>3501.3163379999996</v>
          </cell>
          <cell r="L605">
            <v>0.45</v>
          </cell>
          <cell r="M605">
            <v>133.32</v>
          </cell>
          <cell r="N605">
            <v>1733.1599999999999</v>
          </cell>
          <cell r="O605">
            <v>0.50499759727794125</v>
          </cell>
          <cell r="P605">
            <v>0.5</v>
          </cell>
          <cell r="Q605">
            <v>121.2</v>
          </cell>
        </row>
        <row r="606">
          <cell r="F606" t="str">
            <v>ESPECIALIZAÇÃO EM PROGRAMA NEUROEDUCATIVO</v>
          </cell>
          <cell r="G606" t="str">
            <v>Humanas</v>
          </cell>
          <cell r="H606">
            <v>6</v>
          </cell>
          <cell r="I606">
            <v>13</v>
          </cell>
          <cell r="J606">
            <v>269.33202599999998</v>
          </cell>
          <cell r="K606">
            <v>3501.3163379999996</v>
          </cell>
          <cell r="L606">
            <v>0.45</v>
          </cell>
          <cell r="M606">
            <v>133.32</v>
          </cell>
          <cell r="N606">
            <v>1733.1599999999999</v>
          </cell>
          <cell r="O606">
            <v>0.50499759727794125</v>
          </cell>
          <cell r="P606">
            <v>0.5</v>
          </cell>
          <cell r="Q606">
            <v>121.2</v>
          </cell>
        </row>
        <row r="607">
          <cell r="F607" t="str">
            <v>ESPECIALIZAÇÃO EM PROJETOS DE DESIGN DE INTERIORES</v>
          </cell>
          <cell r="G607" t="str">
            <v>Exatas</v>
          </cell>
          <cell r="H607">
            <v>6</v>
          </cell>
          <cell r="I607">
            <v>13</v>
          </cell>
          <cell r="J607">
            <v>269.33202599999998</v>
          </cell>
          <cell r="K607">
            <v>3501.3163379999996</v>
          </cell>
          <cell r="L607">
            <v>0.45</v>
          </cell>
          <cell r="M607">
            <v>133.32</v>
          </cell>
          <cell r="N607">
            <v>1733.1599999999999</v>
          </cell>
          <cell r="O607">
            <v>0.50499759727794125</v>
          </cell>
          <cell r="P607">
            <v>0.5</v>
          </cell>
          <cell r="Q607">
            <v>121.2</v>
          </cell>
        </row>
        <row r="608">
          <cell r="F608" t="str">
            <v>ESPECIALIZAÇÃO EM PROJETOS DE INTERIORES E SUSTENTABILIDADE</v>
          </cell>
          <cell r="G608" t="str">
            <v>Humanas</v>
          </cell>
          <cell r="H608">
            <v>6</v>
          </cell>
          <cell r="I608">
            <v>13</v>
          </cell>
          <cell r="J608">
            <v>269.33202599999998</v>
          </cell>
          <cell r="K608">
            <v>3501.3163379999996</v>
          </cell>
          <cell r="L608">
            <v>0.45</v>
          </cell>
          <cell r="M608">
            <v>133.32</v>
          </cell>
          <cell r="N608">
            <v>1733.1599999999999</v>
          </cell>
          <cell r="O608">
            <v>0.50499759727794125</v>
          </cell>
          <cell r="P608">
            <v>0.5</v>
          </cell>
          <cell r="Q608">
            <v>121.2</v>
          </cell>
        </row>
        <row r="609">
          <cell r="F609" t="str">
            <v>ESPECIALIZAÇÃO EM PROJETOS DE INTERIORES SUSTENTÁVEIS</v>
          </cell>
          <cell r="G609" t="str">
            <v>Humanas</v>
          </cell>
          <cell r="H609">
            <v>12</v>
          </cell>
          <cell r="I609">
            <v>19</v>
          </cell>
          <cell r="J609">
            <v>184.28091221052631</v>
          </cell>
          <cell r="K609">
            <v>3501.3373320000001</v>
          </cell>
          <cell r="L609">
            <v>0.45</v>
          </cell>
          <cell r="M609">
            <v>91.22</v>
          </cell>
          <cell r="N609">
            <v>1733.18</v>
          </cell>
          <cell r="O609">
            <v>0.50499485320656334</v>
          </cell>
          <cell r="P609">
            <v>0.5</v>
          </cell>
          <cell r="Q609">
            <v>82.93</v>
          </cell>
        </row>
        <row r="610">
          <cell r="F610" t="str">
            <v>ESPECIALIZAÇÃO EM PSICOLOGIA CLÍNICA HOSPITALAR</v>
          </cell>
          <cell r="G610" t="str">
            <v>Saúde</v>
          </cell>
          <cell r="H610">
            <v>6</v>
          </cell>
          <cell r="I610">
            <v>13</v>
          </cell>
          <cell r="J610">
            <v>405.70905000000005</v>
          </cell>
          <cell r="K610">
            <v>5274.2176500000005</v>
          </cell>
          <cell r="L610">
            <v>0.45</v>
          </cell>
          <cell r="M610">
            <v>200.83</v>
          </cell>
          <cell r="N610">
            <v>2610.79</v>
          </cell>
          <cell r="O610">
            <v>0.50499009080522117</v>
          </cell>
          <cell r="P610">
            <v>0.5</v>
          </cell>
          <cell r="Q610">
            <v>182.57</v>
          </cell>
        </row>
        <row r="611">
          <cell r="F611" t="str">
            <v>ESPECIALIZAÇÃO EM PSICOLOGIA HOSPITALAR</v>
          </cell>
          <cell r="G611" t="str">
            <v>Saúde</v>
          </cell>
          <cell r="H611">
            <v>12</v>
          </cell>
          <cell r="I611">
            <v>19</v>
          </cell>
          <cell r="J611">
            <v>277.58266800000001</v>
          </cell>
          <cell r="K611">
            <v>5274.0706920000002</v>
          </cell>
          <cell r="L611">
            <v>0.45</v>
          </cell>
          <cell r="M611">
            <v>137.4</v>
          </cell>
          <cell r="N611">
            <v>2610.6</v>
          </cell>
          <cell r="O611">
            <v>0.50501232303163834</v>
          </cell>
          <cell r="P611">
            <v>0.5</v>
          </cell>
          <cell r="Q611">
            <v>124.91</v>
          </cell>
        </row>
        <row r="612">
          <cell r="F612" t="str">
            <v>ESPECIALIZAÇÃO EM PSICOLOGIA NAS ORGANIZAÇÕES</v>
          </cell>
          <cell r="G612" t="str">
            <v>Humanas</v>
          </cell>
          <cell r="H612">
            <v>6</v>
          </cell>
          <cell r="I612">
            <v>13</v>
          </cell>
          <cell r="J612">
            <v>269.33202599999998</v>
          </cell>
          <cell r="K612">
            <v>3501.3163379999996</v>
          </cell>
          <cell r="L612">
            <v>0.45</v>
          </cell>
          <cell r="M612">
            <v>133.32</v>
          </cell>
          <cell r="N612">
            <v>1733.1599999999999</v>
          </cell>
          <cell r="O612">
            <v>0.50499759727794125</v>
          </cell>
          <cell r="P612">
            <v>0.5</v>
          </cell>
          <cell r="Q612">
            <v>121.2</v>
          </cell>
        </row>
        <row r="613">
          <cell r="F613" t="str">
            <v>ESPECIALIZAÇÃO EM PSICOLOGIA ORGANIZACIONAL</v>
          </cell>
          <cell r="G613" t="str">
            <v>Humanas</v>
          </cell>
          <cell r="H613">
            <v>12</v>
          </cell>
          <cell r="I613">
            <v>19</v>
          </cell>
          <cell r="J613">
            <v>184.28091221052631</v>
          </cell>
          <cell r="K613">
            <v>3501.3373320000001</v>
          </cell>
          <cell r="L613">
            <v>0.45</v>
          </cell>
          <cell r="M613">
            <v>91.22</v>
          </cell>
          <cell r="N613">
            <v>1733.18</v>
          </cell>
          <cell r="O613">
            <v>0.50499485320656334</v>
          </cell>
          <cell r="P613">
            <v>0.5</v>
          </cell>
          <cell r="Q613">
            <v>82.93</v>
          </cell>
        </row>
        <row r="614">
          <cell r="F614" t="str">
            <v>ESPECIALIZAÇÃO EM PSICOPEDAGOGIA COM ÊNFASE EM EDUCAÇÃO ESPECIAL</v>
          </cell>
          <cell r="G614" t="str">
            <v>Humanas</v>
          </cell>
          <cell r="H614">
            <v>12</v>
          </cell>
          <cell r="I614">
            <v>19</v>
          </cell>
          <cell r="J614">
            <v>184.28091221052631</v>
          </cell>
          <cell r="K614">
            <v>3501.3373320000001</v>
          </cell>
          <cell r="L614">
            <v>0.45</v>
          </cell>
          <cell r="M614">
            <v>91.22</v>
          </cell>
          <cell r="N614">
            <v>1733.18</v>
          </cell>
          <cell r="O614">
            <v>0.50499485320656334</v>
          </cell>
          <cell r="P614">
            <v>0.5</v>
          </cell>
          <cell r="Q614">
            <v>82.93</v>
          </cell>
        </row>
        <row r="615">
          <cell r="F615" t="str">
            <v>ESPECIALIZAÇÃO EM PSICOPEDAGOGIA EM ÂMBITO HOSPITALAR</v>
          </cell>
          <cell r="G615" t="str">
            <v>Saúde</v>
          </cell>
          <cell r="H615">
            <v>6</v>
          </cell>
          <cell r="I615">
            <v>13</v>
          </cell>
          <cell r="J615">
            <v>405.70905000000005</v>
          </cell>
          <cell r="K615">
            <v>5274.2176500000005</v>
          </cell>
          <cell r="L615">
            <v>0.45</v>
          </cell>
          <cell r="M615">
            <v>200.83</v>
          </cell>
          <cell r="N615">
            <v>2610.79</v>
          </cell>
          <cell r="O615">
            <v>0.50499009080522117</v>
          </cell>
          <cell r="P615">
            <v>0.5</v>
          </cell>
          <cell r="Q615">
            <v>182.57</v>
          </cell>
        </row>
        <row r="616">
          <cell r="F616" t="str">
            <v>ESPECIALIZAÇÃO EM PSICOPEDAGOGIA ESCOLAR</v>
          </cell>
          <cell r="G616" t="str">
            <v>Humanas</v>
          </cell>
          <cell r="H616">
            <v>12</v>
          </cell>
          <cell r="I616">
            <v>19</v>
          </cell>
          <cell r="J616">
            <v>184.28091221052631</v>
          </cell>
          <cell r="K616">
            <v>3501.3373320000001</v>
          </cell>
          <cell r="L616">
            <v>0.45</v>
          </cell>
          <cell r="M616">
            <v>91.22</v>
          </cell>
          <cell r="N616">
            <v>1733.18</v>
          </cell>
          <cell r="O616">
            <v>0.50499485320656334</v>
          </cell>
          <cell r="P616">
            <v>0.5</v>
          </cell>
          <cell r="Q616">
            <v>82.93</v>
          </cell>
        </row>
        <row r="617">
          <cell r="F617" t="str">
            <v>ESPECIALIZAÇÃO EM PSICOPEDAGOGIA HOSPITALAR</v>
          </cell>
          <cell r="G617" t="str">
            <v>Saúde</v>
          </cell>
          <cell r="H617">
            <v>12</v>
          </cell>
          <cell r="I617">
            <v>19</v>
          </cell>
          <cell r="J617">
            <v>277.58266800000001</v>
          </cell>
          <cell r="K617">
            <v>5274.0706920000002</v>
          </cell>
          <cell r="L617">
            <v>0.45</v>
          </cell>
          <cell r="M617">
            <v>137.4</v>
          </cell>
          <cell r="N617">
            <v>2610.6</v>
          </cell>
          <cell r="O617">
            <v>0.50501232303163834</v>
          </cell>
          <cell r="P617">
            <v>0.5</v>
          </cell>
          <cell r="Q617">
            <v>124.91</v>
          </cell>
        </row>
        <row r="618">
          <cell r="F618" t="str">
            <v>ESPECIALIZAÇÃO EM PSICOPEDAGOGIA NA EDUCAÇÃO ESPECIAL</v>
          </cell>
          <cell r="G618" t="str">
            <v>Humanas</v>
          </cell>
          <cell r="H618">
            <v>6</v>
          </cell>
          <cell r="I618">
            <v>13</v>
          </cell>
          <cell r="J618">
            <v>269.33202599999998</v>
          </cell>
          <cell r="K618">
            <v>3501.3163379999996</v>
          </cell>
          <cell r="L618">
            <v>0.45</v>
          </cell>
          <cell r="M618">
            <v>133.32</v>
          </cell>
          <cell r="N618">
            <v>1733.1599999999999</v>
          </cell>
          <cell r="O618">
            <v>0.50499759727794125</v>
          </cell>
          <cell r="P618">
            <v>0.5</v>
          </cell>
          <cell r="Q618">
            <v>121.2</v>
          </cell>
        </row>
        <row r="619">
          <cell r="F619" t="str">
            <v>ESPECIALIZAÇÃO EM PSICOPEDAGOGIA NA ESCOLA</v>
          </cell>
          <cell r="G619" t="str">
            <v>Humanas</v>
          </cell>
          <cell r="H619">
            <v>6</v>
          </cell>
          <cell r="I619">
            <v>13</v>
          </cell>
          <cell r="J619">
            <v>269.33202599999998</v>
          </cell>
          <cell r="K619">
            <v>3501.3163379999996</v>
          </cell>
          <cell r="L619">
            <v>0.45</v>
          </cell>
          <cell r="M619">
            <v>133.32</v>
          </cell>
          <cell r="N619">
            <v>1733.1599999999999</v>
          </cell>
          <cell r="O619">
            <v>0.50499759727794125</v>
          </cell>
          <cell r="P619">
            <v>0.5</v>
          </cell>
          <cell r="Q619">
            <v>121.2</v>
          </cell>
        </row>
        <row r="620">
          <cell r="F620" t="str">
            <v>ESPECIALIZAÇÃO EM RECRUTAMENTO TECH</v>
          </cell>
          <cell r="G620" t="str">
            <v>Exatas</v>
          </cell>
          <cell r="H620">
            <v>6</v>
          </cell>
          <cell r="I620">
            <v>13</v>
          </cell>
          <cell r="J620">
            <v>269.33202599999998</v>
          </cell>
          <cell r="K620">
            <v>3501.3163379999996</v>
          </cell>
          <cell r="L620">
            <v>0.45</v>
          </cell>
          <cell r="M620">
            <v>133.32</v>
          </cell>
          <cell r="N620">
            <v>1733.1599999999999</v>
          </cell>
          <cell r="O620">
            <v>0.50499759727794125</v>
          </cell>
          <cell r="P620">
            <v>0.5</v>
          </cell>
          <cell r="Q620">
            <v>121.2</v>
          </cell>
        </row>
        <row r="621">
          <cell r="F621" t="str">
            <v>ESPECIALIZAÇÃO EM SAÚDE DA FAMÍLIA</v>
          </cell>
          <cell r="G621" t="str">
            <v>Saúde</v>
          </cell>
          <cell r="H621">
            <v>12</v>
          </cell>
          <cell r="I621">
            <v>19</v>
          </cell>
          <cell r="J621">
            <v>277.58266800000001</v>
          </cell>
          <cell r="K621">
            <v>5274.0706920000002</v>
          </cell>
          <cell r="L621">
            <v>0.45</v>
          </cell>
          <cell r="M621">
            <v>137.4</v>
          </cell>
          <cell r="N621">
            <v>2610.6</v>
          </cell>
          <cell r="O621">
            <v>0.50501232303163834</v>
          </cell>
          <cell r="P621">
            <v>0.5</v>
          </cell>
          <cell r="Q621">
            <v>124.91</v>
          </cell>
        </row>
        <row r="622">
          <cell r="F622" t="str">
            <v>ESPECIALIZAÇÃO EM SAÚDE DO IDOSO</v>
          </cell>
          <cell r="G622" t="str">
            <v>Saúde</v>
          </cell>
          <cell r="H622">
            <v>12</v>
          </cell>
          <cell r="I622">
            <v>19</v>
          </cell>
          <cell r="J622">
            <v>277.58266800000001</v>
          </cell>
          <cell r="K622">
            <v>5274.0706920000002</v>
          </cell>
          <cell r="L622">
            <v>0.45</v>
          </cell>
          <cell r="M622">
            <v>137.4</v>
          </cell>
          <cell r="N622">
            <v>2610.6</v>
          </cell>
          <cell r="O622">
            <v>0.50501232303163834</v>
          </cell>
          <cell r="P622">
            <v>0.5</v>
          </cell>
          <cell r="Q622">
            <v>124.91</v>
          </cell>
        </row>
        <row r="623">
          <cell r="F623" t="str">
            <v>ESPECIALIZAÇÃO EM SAÚDE DO TRABALHADOR</v>
          </cell>
          <cell r="G623" t="str">
            <v>Saúde</v>
          </cell>
          <cell r="H623">
            <v>12</v>
          </cell>
          <cell r="I623">
            <v>19</v>
          </cell>
          <cell r="J623">
            <v>277.58266800000001</v>
          </cell>
          <cell r="K623">
            <v>5274.0706920000002</v>
          </cell>
          <cell r="L623">
            <v>0.45</v>
          </cell>
          <cell r="M623">
            <v>137.4</v>
          </cell>
          <cell r="N623">
            <v>2610.6</v>
          </cell>
          <cell r="O623">
            <v>0.50501232303163834</v>
          </cell>
          <cell r="P623">
            <v>0.5</v>
          </cell>
          <cell r="Q623">
            <v>124.91</v>
          </cell>
        </row>
        <row r="624">
          <cell r="F624" t="str">
            <v>ESPECIALIZAÇÃO EM SAÚDE E SEGURANÇA DO TRABALHADOR</v>
          </cell>
          <cell r="G624" t="str">
            <v>Saúde</v>
          </cell>
          <cell r="H624">
            <v>6</v>
          </cell>
          <cell r="I624">
            <v>13</v>
          </cell>
          <cell r="J624">
            <v>405.70905000000005</v>
          </cell>
          <cell r="K624">
            <v>5274.2176500000005</v>
          </cell>
          <cell r="L624">
            <v>0.45</v>
          </cell>
          <cell r="M624">
            <v>200.83</v>
          </cell>
          <cell r="N624">
            <v>2610.79</v>
          </cell>
          <cell r="O624">
            <v>0.50499009080522117</v>
          </cell>
          <cell r="P624">
            <v>0.5</v>
          </cell>
          <cell r="Q624">
            <v>182.57</v>
          </cell>
        </row>
        <row r="625">
          <cell r="F625" t="str">
            <v>ESPECIALIZAÇÃO EM SAÚDE GERIÁTRICA</v>
          </cell>
          <cell r="G625" t="str">
            <v>Saúde</v>
          </cell>
          <cell r="H625">
            <v>6</v>
          </cell>
          <cell r="I625">
            <v>13</v>
          </cell>
          <cell r="J625">
            <v>405.70905000000005</v>
          </cell>
          <cell r="K625">
            <v>5274.2176500000005</v>
          </cell>
          <cell r="L625">
            <v>0.45</v>
          </cell>
          <cell r="M625">
            <v>200.83</v>
          </cell>
          <cell r="N625">
            <v>2610.79</v>
          </cell>
          <cell r="O625">
            <v>0.50499009080522117</v>
          </cell>
          <cell r="P625">
            <v>0.5</v>
          </cell>
          <cell r="Q625">
            <v>182.57</v>
          </cell>
        </row>
        <row r="626">
          <cell r="F626" t="str">
            <v>ESPECIALIZAÇÃO EM SAÚDE PÚBLICA</v>
          </cell>
          <cell r="G626" t="str">
            <v>Saúde</v>
          </cell>
          <cell r="H626">
            <v>12</v>
          </cell>
          <cell r="I626">
            <v>19</v>
          </cell>
          <cell r="J626">
            <v>277.58266800000001</v>
          </cell>
          <cell r="K626">
            <v>5274.0706920000002</v>
          </cell>
          <cell r="L626">
            <v>0.45</v>
          </cell>
          <cell r="M626">
            <v>137.4</v>
          </cell>
          <cell r="N626">
            <v>2610.6</v>
          </cell>
          <cell r="O626">
            <v>0.50501232303163834</v>
          </cell>
          <cell r="P626">
            <v>0.5</v>
          </cell>
          <cell r="Q626">
            <v>124.91</v>
          </cell>
        </row>
        <row r="627">
          <cell r="F627" t="str">
            <v>ESPECIALIZAÇÃO EM SAÚDE PÚBLICA E COLETIVA</v>
          </cell>
          <cell r="G627" t="str">
            <v>Saúde</v>
          </cell>
          <cell r="H627">
            <v>6</v>
          </cell>
          <cell r="I627">
            <v>13</v>
          </cell>
          <cell r="J627">
            <v>405.70905000000005</v>
          </cell>
          <cell r="K627">
            <v>5274.2176500000005</v>
          </cell>
          <cell r="L627">
            <v>0.45</v>
          </cell>
          <cell r="M627">
            <v>200.83</v>
          </cell>
          <cell r="N627">
            <v>2610.79</v>
          </cell>
          <cell r="O627">
            <v>0.50499009080522117</v>
          </cell>
          <cell r="P627">
            <v>0.5</v>
          </cell>
          <cell r="Q627">
            <v>182.57</v>
          </cell>
        </row>
        <row r="628">
          <cell r="F628" t="str">
            <v>ESPECIALIZAÇÃO EM SEGURANÇA CIBERNÉTICA</v>
          </cell>
          <cell r="G628" t="str">
            <v>Exatas</v>
          </cell>
          <cell r="H628">
            <v>6</v>
          </cell>
          <cell r="I628">
            <v>13</v>
          </cell>
          <cell r="J628">
            <v>405.70905000000005</v>
          </cell>
          <cell r="K628">
            <v>5274.2176500000005</v>
          </cell>
          <cell r="L628">
            <v>0.45</v>
          </cell>
          <cell r="M628">
            <v>200.83</v>
          </cell>
          <cell r="N628">
            <v>2610.79</v>
          </cell>
          <cell r="O628">
            <v>0.50499009080522117</v>
          </cell>
          <cell r="P628">
            <v>0.5</v>
          </cell>
          <cell r="Q628">
            <v>182.57</v>
          </cell>
        </row>
        <row r="629">
          <cell r="F629" t="str">
            <v>ESPECIALIZAÇÃO EM SEGURANÇA DIGITAL</v>
          </cell>
          <cell r="G629" t="str">
            <v>Exatas</v>
          </cell>
          <cell r="H629">
            <v>6</v>
          </cell>
          <cell r="I629">
            <v>13</v>
          </cell>
          <cell r="J629">
            <v>269.33202599999998</v>
          </cell>
          <cell r="K629">
            <v>3501.3163379999996</v>
          </cell>
          <cell r="L629">
            <v>0.45</v>
          </cell>
          <cell r="M629">
            <v>133.32</v>
          </cell>
          <cell r="N629">
            <v>1733.1599999999999</v>
          </cell>
          <cell r="O629">
            <v>0.50499759727794125</v>
          </cell>
          <cell r="P629">
            <v>0.5</v>
          </cell>
          <cell r="Q629">
            <v>121.2</v>
          </cell>
        </row>
        <row r="630">
          <cell r="F630" t="str">
            <v>ESPECIALIZAÇÃO EM SEGURANÇA PÚBLICA</v>
          </cell>
          <cell r="G630" t="str">
            <v>Humanas</v>
          </cell>
          <cell r="H630">
            <v>12</v>
          </cell>
          <cell r="I630">
            <v>19</v>
          </cell>
          <cell r="J630">
            <v>184.28091221052631</v>
          </cell>
          <cell r="K630">
            <v>3501.3373320000001</v>
          </cell>
          <cell r="L630">
            <v>0.45</v>
          </cell>
          <cell r="M630">
            <v>91.22</v>
          </cell>
          <cell r="N630">
            <v>1733.18</v>
          </cell>
          <cell r="O630">
            <v>0.50499485320656334</v>
          </cell>
          <cell r="P630">
            <v>0.5</v>
          </cell>
          <cell r="Q630">
            <v>82.93</v>
          </cell>
        </row>
        <row r="631">
          <cell r="F631" t="str">
            <v>ESPECIALIZAÇÃO EM SISTEMAS DE INFORMAÇÃO</v>
          </cell>
          <cell r="G631" t="str">
            <v>Exatas</v>
          </cell>
          <cell r="H631">
            <v>12</v>
          </cell>
          <cell r="I631">
            <v>19</v>
          </cell>
          <cell r="J631">
            <v>277.58266800000001</v>
          </cell>
          <cell r="K631">
            <v>5274.0706920000002</v>
          </cell>
          <cell r="L631">
            <v>0.45</v>
          </cell>
          <cell r="M631">
            <v>137.4</v>
          </cell>
          <cell r="N631">
            <v>2610.6</v>
          </cell>
          <cell r="O631">
            <v>0.50501232303163834</v>
          </cell>
          <cell r="P631">
            <v>0.5</v>
          </cell>
          <cell r="Q631">
            <v>124.91</v>
          </cell>
        </row>
        <row r="632">
          <cell r="F632" t="str">
            <v>ESPECIALIZAÇÃO EM SISTEMAS INFORMÁTICOS</v>
          </cell>
          <cell r="G632" t="str">
            <v>Exatas</v>
          </cell>
          <cell r="H632">
            <v>6</v>
          </cell>
          <cell r="I632">
            <v>13</v>
          </cell>
          <cell r="J632">
            <v>405.70905000000005</v>
          </cell>
          <cell r="K632">
            <v>5274.2176500000005</v>
          </cell>
          <cell r="L632">
            <v>0.45</v>
          </cell>
          <cell r="M632">
            <v>200.83</v>
          </cell>
          <cell r="N632">
            <v>2610.79</v>
          </cell>
          <cell r="O632">
            <v>0.50499009080522117</v>
          </cell>
          <cell r="P632">
            <v>0.5</v>
          </cell>
          <cell r="Q632">
            <v>182.57</v>
          </cell>
        </row>
        <row r="633">
          <cell r="F633" t="str">
            <v>ESPECIALIZAÇÃO EM SUPERVISÃO ESCOLAR E ORIENTAÇÃO</v>
          </cell>
          <cell r="G633" t="str">
            <v>Humanas</v>
          </cell>
          <cell r="H633">
            <v>6</v>
          </cell>
          <cell r="I633">
            <v>13</v>
          </cell>
          <cell r="J633">
            <v>269.33202599999998</v>
          </cell>
          <cell r="K633">
            <v>3501.3163379999996</v>
          </cell>
          <cell r="L633">
            <v>0.45</v>
          </cell>
          <cell r="M633">
            <v>133.32</v>
          </cell>
          <cell r="N633">
            <v>1733.1599999999999</v>
          </cell>
          <cell r="O633">
            <v>0.50499759727794125</v>
          </cell>
          <cell r="P633">
            <v>0.5</v>
          </cell>
          <cell r="Q633">
            <v>121.2</v>
          </cell>
        </row>
        <row r="634">
          <cell r="F634" t="str">
            <v>ESPECIALIZAÇÃO EM TECH RECRUITER</v>
          </cell>
          <cell r="G634" t="str">
            <v>Exatas</v>
          </cell>
          <cell r="H634">
            <v>12</v>
          </cell>
          <cell r="I634">
            <v>19</v>
          </cell>
          <cell r="J634">
            <v>184.28091221052631</v>
          </cell>
          <cell r="K634">
            <v>3501.3373320000001</v>
          </cell>
          <cell r="L634">
            <v>0.45</v>
          </cell>
          <cell r="M634">
            <v>91.22</v>
          </cell>
          <cell r="N634">
            <v>1733.18</v>
          </cell>
          <cell r="O634">
            <v>0.50499485320656334</v>
          </cell>
          <cell r="P634">
            <v>0.5</v>
          </cell>
          <cell r="Q634">
            <v>82.93</v>
          </cell>
        </row>
        <row r="635">
          <cell r="F635" t="str">
            <v>ESPECIALIZAÇÃO EM TESTES ÁGEIS DE SOFTWARE</v>
          </cell>
          <cell r="G635" t="str">
            <v>Exatas</v>
          </cell>
          <cell r="H635">
            <v>6</v>
          </cell>
          <cell r="I635">
            <v>13</v>
          </cell>
          <cell r="J635">
            <v>405.70905000000005</v>
          </cell>
          <cell r="K635">
            <v>5274.2176500000005</v>
          </cell>
          <cell r="L635">
            <v>0.45</v>
          </cell>
          <cell r="M635">
            <v>200.83</v>
          </cell>
          <cell r="N635">
            <v>2610.79</v>
          </cell>
          <cell r="O635">
            <v>0.50499009080522117</v>
          </cell>
          <cell r="P635">
            <v>0.5</v>
          </cell>
          <cell r="Q635">
            <v>182.57</v>
          </cell>
        </row>
        <row r="636">
          <cell r="F636" t="str">
            <v>ESPECIALIZAÇÃO EM TESTES DE SOFTWARE ÁGIL</v>
          </cell>
          <cell r="G636" t="str">
            <v>Negócios</v>
          </cell>
          <cell r="H636">
            <v>12</v>
          </cell>
          <cell r="I636">
            <v>19</v>
          </cell>
          <cell r="J636">
            <v>277.58266800000001</v>
          </cell>
          <cell r="K636">
            <v>5274.0706920000002</v>
          </cell>
          <cell r="L636">
            <v>0.45</v>
          </cell>
          <cell r="M636">
            <v>137.4</v>
          </cell>
          <cell r="N636">
            <v>2610.6</v>
          </cell>
          <cell r="O636">
            <v>0.50501232303163834</v>
          </cell>
          <cell r="P636">
            <v>0.5</v>
          </cell>
          <cell r="Q636">
            <v>124.91</v>
          </cell>
        </row>
        <row r="637">
          <cell r="F637" t="str">
            <v>ESPECIALIZAÇÃO EM TRANSFORMAÇÃO DIGITAL E CULTURA DIGITAL NAS ORGANIZAÇÕES</v>
          </cell>
          <cell r="G637" t="str">
            <v>Exatas</v>
          </cell>
          <cell r="H637">
            <v>6</v>
          </cell>
          <cell r="I637">
            <v>13</v>
          </cell>
          <cell r="J637">
            <v>269.33202599999998</v>
          </cell>
          <cell r="K637">
            <v>3501.3163379999996</v>
          </cell>
          <cell r="L637">
            <v>0.45</v>
          </cell>
          <cell r="M637">
            <v>133.32</v>
          </cell>
          <cell r="N637">
            <v>1733.1599999999999</v>
          </cell>
          <cell r="O637">
            <v>0.50499759727794125</v>
          </cell>
          <cell r="P637">
            <v>0.5</v>
          </cell>
          <cell r="Q637">
            <v>121.2</v>
          </cell>
        </row>
        <row r="638">
          <cell r="F638" t="str">
            <v>ESPECIALIZAÇÃO EM USER EXPERIENCE DESIGN</v>
          </cell>
          <cell r="G638" t="str">
            <v>Exatas</v>
          </cell>
          <cell r="H638">
            <v>12</v>
          </cell>
          <cell r="I638">
            <v>19</v>
          </cell>
          <cell r="J638">
            <v>184.28091221052631</v>
          </cell>
          <cell r="K638">
            <v>3501.3373320000001</v>
          </cell>
          <cell r="L638">
            <v>0.45</v>
          </cell>
          <cell r="M638">
            <v>91.22</v>
          </cell>
          <cell r="N638">
            <v>1733.18</v>
          </cell>
          <cell r="O638">
            <v>0.50499485320656334</v>
          </cell>
          <cell r="P638">
            <v>0.5</v>
          </cell>
          <cell r="Q638">
            <v>82.93</v>
          </cell>
        </row>
        <row r="639">
          <cell r="F639" t="str">
            <v>ESPECIALIZAÇÃO EM UX DESIGN</v>
          </cell>
          <cell r="G639" t="str">
            <v>Exatas</v>
          </cell>
          <cell r="H639">
            <v>6</v>
          </cell>
          <cell r="I639">
            <v>13</v>
          </cell>
          <cell r="J639">
            <v>269.33202599999998</v>
          </cell>
          <cell r="K639">
            <v>3501.3163379999996</v>
          </cell>
          <cell r="L639">
            <v>0.45</v>
          </cell>
          <cell r="M639">
            <v>133.32</v>
          </cell>
          <cell r="N639">
            <v>1733.1599999999999</v>
          </cell>
          <cell r="O639">
            <v>0.50499759727794125</v>
          </cell>
          <cell r="P639">
            <v>0.5</v>
          </cell>
          <cell r="Q639">
            <v>121.2</v>
          </cell>
        </row>
        <row r="640">
          <cell r="F640" t="str">
            <v>ESPECIALIZAÇÃO EM VIGILÂNCIA EM SAÚDE E EPIDEMIOLOGIA</v>
          </cell>
          <cell r="G640" t="str">
            <v>Saúde</v>
          </cell>
          <cell r="H640">
            <v>6</v>
          </cell>
          <cell r="I640">
            <v>13</v>
          </cell>
          <cell r="J640">
            <v>405.70905000000005</v>
          </cell>
          <cell r="K640">
            <v>5274.2176500000005</v>
          </cell>
          <cell r="L640">
            <v>0.45</v>
          </cell>
          <cell r="M640">
            <v>200.83</v>
          </cell>
          <cell r="N640">
            <v>2610.79</v>
          </cell>
          <cell r="O640">
            <v>0.50499009080522117</v>
          </cell>
          <cell r="P640">
            <v>0.5</v>
          </cell>
          <cell r="Q640">
            <v>182.57</v>
          </cell>
        </row>
        <row r="641">
          <cell r="F641" t="str">
            <v>ESPECIALIZAÇÃO NA EDUCAÇÃO COM ÊNFASE NO PROCESSO DE FORMAÇÃO ÉTNICO - RACIAL</v>
          </cell>
          <cell r="G641" t="str">
            <v>Saúde</v>
          </cell>
          <cell r="H641">
            <v>6</v>
          </cell>
          <cell r="I641">
            <v>13</v>
          </cell>
          <cell r="J641">
            <v>269.33202599999998</v>
          </cell>
          <cell r="K641">
            <v>3501.3163379999996</v>
          </cell>
          <cell r="L641">
            <v>0.45</v>
          </cell>
          <cell r="M641">
            <v>133.32</v>
          </cell>
          <cell r="N641">
            <v>1733.1599999999999</v>
          </cell>
          <cell r="O641">
            <v>0.50499759727794125</v>
          </cell>
          <cell r="P641">
            <v>0.5</v>
          </cell>
          <cell r="Q641">
            <v>121.2</v>
          </cell>
        </row>
        <row r="642">
          <cell r="F642" t="str">
            <v>MBA EM ADMINISTRAÇÃO PÚBLICA</v>
          </cell>
          <cell r="G642" t="str">
            <v>Humanas</v>
          </cell>
          <cell r="H642">
            <v>6</v>
          </cell>
          <cell r="I642">
            <v>13</v>
          </cell>
          <cell r="J642">
            <v>269.33202599999998</v>
          </cell>
          <cell r="K642">
            <v>3501.3163379999996</v>
          </cell>
          <cell r="L642">
            <v>0.45</v>
          </cell>
          <cell r="M642">
            <v>133.32</v>
          </cell>
          <cell r="N642">
            <v>1733.1599999999999</v>
          </cell>
          <cell r="O642">
            <v>0.50499759727794125</v>
          </cell>
          <cell r="P642">
            <v>0.5</v>
          </cell>
          <cell r="Q642">
            <v>121.2</v>
          </cell>
        </row>
        <row r="643">
          <cell r="F643" t="str">
            <v>MBA EM AUDITORIA E CONTROLADORIA</v>
          </cell>
          <cell r="G643" t="str">
            <v>Humanas</v>
          </cell>
          <cell r="H643">
            <v>6</v>
          </cell>
          <cell r="I643">
            <v>13</v>
          </cell>
          <cell r="J643">
            <v>269.33202599999998</v>
          </cell>
          <cell r="K643">
            <v>3501.3163379999996</v>
          </cell>
          <cell r="L643">
            <v>0.45</v>
          </cell>
          <cell r="M643">
            <v>133.32</v>
          </cell>
          <cell r="N643">
            <v>1733.1599999999999</v>
          </cell>
          <cell r="O643">
            <v>0.50499759727794125</v>
          </cell>
          <cell r="P643">
            <v>0.5</v>
          </cell>
          <cell r="Q643">
            <v>121.2</v>
          </cell>
        </row>
        <row r="644">
          <cell r="F644" t="str">
            <v>MBA EM AUDITORIA EM SAÚDE</v>
          </cell>
          <cell r="G644" t="str">
            <v>Saúde</v>
          </cell>
          <cell r="H644">
            <v>12</v>
          </cell>
          <cell r="I644">
            <v>19</v>
          </cell>
          <cell r="J644">
            <v>277.58266800000001</v>
          </cell>
          <cell r="K644">
            <v>5274.0706920000002</v>
          </cell>
          <cell r="L644">
            <v>0.45</v>
          </cell>
          <cell r="M644">
            <v>137.4</v>
          </cell>
          <cell r="N644">
            <v>2610.6</v>
          </cell>
          <cell r="O644">
            <v>0.50501232303163834</v>
          </cell>
          <cell r="P644">
            <v>0.5</v>
          </cell>
          <cell r="Q644">
            <v>124.91</v>
          </cell>
        </row>
        <row r="645">
          <cell r="F645" t="str">
            <v>MBA EM AUDITORIA EM SERVIÇOS DE SAÚDE</v>
          </cell>
          <cell r="G645" t="str">
            <v>Saúde</v>
          </cell>
          <cell r="H645">
            <v>6</v>
          </cell>
          <cell r="I645">
            <v>13</v>
          </cell>
          <cell r="J645">
            <v>405.70905000000005</v>
          </cell>
          <cell r="K645">
            <v>5274.2176500000005</v>
          </cell>
          <cell r="L645">
            <v>0.45</v>
          </cell>
          <cell r="M645">
            <v>200.83</v>
          </cell>
          <cell r="N645">
            <v>2610.79</v>
          </cell>
          <cell r="O645">
            <v>0.50499009080522117</v>
          </cell>
          <cell r="P645">
            <v>0.5</v>
          </cell>
          <cell r="Q645">
            <v>182.57</v>
          </cell>
        </row>
        <row r="646">
          <cell r="F646" t="str">
            <v>MBA EM COACHING</v>
          </cell>
          <cell r="G646" t="str">
            <v>Humanas</v>
          </cell>
          <cell r="H646">
            <v>6</v>
          </cell>
          <cell r="I646">
            <v>13</v>
          </cell>
          <cell r="J646">
            <v>269.33202599999998</v>
          </cell>
          <cell r="K646">
            <v>3501.3163379999996</v>
          </cell>
          <cell r="L646">
            <v>0.45</v>
          </cell>
          <cell r="M646">
            <v>133.32</v>
          </cell>
          <cell r="N646">
            <v>1733.1599999999999</v>
          </cell>
          <cell r="O646">
            <v>0.50499759727794125</v>
          </cell>
          <cell r="P646">
            <v>0.5</v>
          </cell>
          <cell r="Q646">
            <v>121.2</v>
          </cell>
        </row>
        <row r="647">
          <cell r="F647" t="str">
            <v>MBA EM COACHING E GESTÃO DE PESSOAS</v>
          </cell>
          <cell r="G647" t="str">
            <v>Humanas</v>
          </cell>
          <cell r="H647">
            <v>6</v>
          </cell>
          <cell r="I647">
            <v>13</v>
          </cell>
          <cell r="J647">
            <v>269.33202599999998</v>
          </cell>
          <cell r="K647">
            <v>3501.3163379999996</v>
          </cell>
          <cell r="L647">
            <v>0.45</v>
          </cell>
          <cell r="M647">
            <v>133.32</v>
          </cell>
          <cell r="N647">
            <v>1733.1599999999999</v>
          </cell>
          <cell r="O647">
            <v>0.50499759727794125</v>
          </cell>
          <cell r="P647">
            <v>0.5</v>
          </cell>
          <cell r="Q647">
            <v>121.2</v>
          </cell>
        </row>
        <row r="648">
          <cell r="F648" t="str">
            <v>MBA EM COACHING E GESTÃO DE TALENTOS</v>
          </cell>
          <cell r="G648" t="str">
            <v>Humanas</v>
          </cell>
          <cell r="H648">
            <v>12</v>
          </cell>
          <cell r="I648">
            <v>19</v>
          </cell>
          <cell r="J648">
            <v>184.28091221052631</v>
          </cell>
          <cell r="K648">
            <v>3501.3373320000001</v>
          </cell>
          <cell r="L648">
            <v>0.45</v>
          </cell>
          <cell r="M648">
            <v>91.22</v>
          </cell>
          <cell r="N648">
            <v>1733.18</v>
          </cell>
          <cell r="O648">
            <v>0.50499485320656334</v>
          </cell>
          <cell r="P648">
            <v>0.5</v>
          </cell>
          <cell r="Q648">
            <v>82.93</v>
          </cell>
        </row>
        <row r="649">
          <cell r="F649" t="str">
            <v>MBA EM COMPLIANCE DIGITAL E PROTEÇÃO DE DADOS</v>
          </cell>
          <cell r="G649" t="str">
            <v>Exatas</v>
          </cell>
          <cell r="H649">
            <v>6</v>
          </cell>
          <cell r="I649">
            <v>13</v>
          </cell>
          <cell r="J649">
            <v>405.70905000000005</v>
          </cell>
          <cell r="K649">
            <v>5274.2176500000005</v>
          </cell>
          <cell r="L649">
            <v>0.45</v>
          </cell>
          <cell r="M649">
            <v>200.83</v>
          </cell>
          <cell r="N649">
            <v>2610.79</v>
          </cell>
          <cell r="O649">
            <v>0.50499009080522117</v>
          </cell>
          <cell r="P649">
            <v>0.5</v>
          </cell>
          <cell r="Q649">
            <v>182.57</v>
          </cell>
        </row>
        <row r="650">
          <cell r="F650" t="str">
            <v>MBA EM CONTABILIDADE EMPRESARIAL</v>
          </cell>
          <cell r="G650" t="str">
            <v>Humanas</v>
          </cell>
          <cell r="H650">
            <v>12</v>
          </cell>
          <cell r="I650">
            <v>19</v>
          </cell>
          <cell r="J650">
            <v>184.28091221052631</v>
          </cell>
          <cell r="K650">
            <v>3501.3373320000001</v>
          </cell>
          <cell r="L650">
            <v>0.45</v>
          </cell>
          <cell r="M650">
            <v>91.22</v>
          </cell>
          <cell r="N650">
            <v>1733.18</v>
          </cell>
          <cell r="O650">
            <v>0.50499485320656334</v>
          </cell>
          <cell r="P650">
            <v>0.5</v>
          </cell>
          <cell r="Q650">
            <v>82.93</v>
          </cell>
        </row>
        <row r="651">
          <cell r="F651" t="str">
            <v>MBA EM CONTABILIDADE NAS EMPRESAS</v>
          </cell>
          <cell r="G651" t="str">
            <v>Humanas</v>
          </cell>
          <cell r="H651">
            <v>6</v>
          </cell>
          <cell r="I651">
            <v>13</v>
          </cell>
          <cell r="J651">
            <v>269.33202599999998</v>
          </cell>
          <cell r="K651">
            <v>3501.3163379999996</v>
          </cell>
          <cell r="L651">
            <v>0.45</v>
          </cell>
          <cell r="M651">
            <v>133.32</v>
          </cell>
          <cell r="N651">
            <v>1733.1599999999999</v>
          </cell>
          <cell r="O651">
            <v>0.50499759727794125</v>
          </cell>
          <cell r="P651">
            <v>0.5</v>
          </cell>
          <cell r="Q651">
            <v>121.2</v>
          </cell>
        </row>
        <row r="652">
          <cell r="F652" t="str">
            <v>MBA EM CONTABILIDADE, AUDITORIA E CONTROLADORIA</v>
          </cell>
          <cell r="G652" t="str">
            <v>Humanas</v>
          </cell>
          <cell r="H652">
            <v>12</v>
          </cell>
          <cell r="I652">
            <v>19</v>
          </cell>
          <cell r="J652">
            <v>184.28091221052631</v>
          </cell>
          <cell r="K652">
            <v>3501.3373320000001</v>
          </cell>
          <cell r="L652">
            <v>0.45</v>
          </cell>
          <cell r="M652">
            <v>91.22</v>
          </cell>
          <cell r="N652">
            <v>1733.18</v>
          </cell>
          <cell r="O652">
            <v>0.50499485320656334</v>
          </cell>
          <cell r="P652">
            <v>0.5</v>
          </cell>
          <cell r="Q652">
            <v>82.93</v>
          </cell>
        </row>
        <row r="653">
          <cell r="F653" t="str">
            <v>MBA EM DATA PROTECTION OFFICER</v>
          </cell>
          <cell r="G653" t="str">
            <v>Exatas</v>
          </cell>
          <cell r="H653">
            <v>12</v>
          </cell>
          <cell r="I653">
            <v>19</v>
          </cell>
          <cell r="J653">
            <v>277.58266800000001</v>
          </cell>
          <cell r="K653">
            <v>5274.0706920000002</v>
          </cell>
          <cell r="L653">
            <v>0.45</v>
          </cell>
          <cell r="M653">
            <v>137.4</v>
          </cell>
          <cell r="N653">
            <v>2610.6</v>
          </cell>
          <cell r="O653">
            <v>0.50501232303163834</v>
          </cell>
          <cell r="P653">
            <v>0.5</v>
          </cell>
          <cell r="Q653">
            <v>124.91</v>
          </cell>
        </row>
        <row r="654">
          <cell r="F654" t="str">
            <v>MBA EM EMPREENDEDORISMO</v>
          </cell>
          <cell r="G654" t="str">
            <v>Humanas</v>
          </cell>
          <cell r="H654">
            <v>12</v>
          </cell>
          <cell r="I654">
            <v>19</v>
          </cell>
          <cell r="J654">
            <v>184.28091221052631</v>
          </cell>
          <cell r="K654">
            <v>3501.3373320000001</v>
          </cell>
          <cell r="L654">
            <v>0.45</v>
          </cell>
          <cell r="M654">
            <v>91.22</v>
          </cell>
          <cell r="N654">
            <v>1733.18</v>
          </cell>
          <cell r="O654">
            <v>0.50499485320656334</v>
          </cell>
          <cell r="P654">
            <v>0.5</v>
          </cell>
          <cell r="Q654">
            <v>82.93</v>
          </cell>
        </row>
        <row r="655">
          <cell r="F655" t="str">
            <v>MBA EM GERENCIAMENTO DE PROJETOS</v>
          </cell>
          <cell r="G655" t="str">
            <v>Humanas</v>
          </cell>
          <cell r="H655">
            <v>6</v>
          </cell>
          <cell r="I655">
            <v>13</v>
          </cell>
          <cell r="J655">
            <v>269.33202599999998</v>
          </cell>
          <cell r="K655">
            <v>3501.3163379999996</v>
          </cell>
          <cell r="L655">
            <v>0.45</v>
          </cell>
          <cell r="M655">
            <v>133.32</v>
          </cell>
          <cell r="N655">
            <v>1733.1599999999999</v>
          </cell>
          <cell r="O655">
            <v>0.50499759727794125</v>
          </cell>
          <cell r="P655">
            <v>0.5</v>
          </cell>
          <cell r="Q655">
            <v>121.2</v>
          </cell>
        </row>
        <row r="656">
          <cell r="F656" t="str">
            <v>MBA EM GESTÃO 4.0: TRANSFORMAÇÃO DIGITAL E AUTOMAÇÃO DE PROCESSOS</v>
          </cell>
          <cell r="G656" t="str">
            <v>Negócios</v>
          </cell>
          <cell r="H656">
            <v>12</v>
          </cell>
          <cell r="I656">
            <v>19</v>
          </cell>
          <cell r="J656">
            <v>277.58266800000001</v>
          </cell>
          <cell r="K656">
            <v>5274.0706920000002</v>
          </cell>
          <cell r="L656">
            <v>0.45</v>
          </cell>
          <cell r="M656">
            <v>137.4</v>
          </cell>
          <cell r="N656">
            <v>2610.6</v>
          </cell>
          <cell r="O656">
            <v>0.50501232303163834</v>
          </cell>
          <cell r="P656">
            <v>0.5</v>
          </cell>
          <cell r="Q656">
            <v>124.91</v>
          </cell>
        </row>
        <row r="657">
          <cell r="F657" t="str">
            <v>MBA EM GESTÃO COMERCIAL E MARKETING</v>
          </cell>
          <cell r="G657" t="str">
            <v>Humanas</v>
          </cell>
          <cell r="H657">
            <v>12</v>
          </cell>
          <cell r="I657">
            <v>19</v>
          </cell>
          <cell r="J657">
            <v>184.28091221052631</v>
          </cell>
          <cell r="K657">
            <v>3501.3373320000001</v>
          </cell>
          <cell r="L657">
            <v>0.45</v>
          </cell>
          <cell r="M657">
            <v>91.22</v>
          </cell>
          <cell r="N657">
            <v>1733.18</v>
          </cell>
          <cell r="O657">
            <v>0.50499485320656334</v>
          </cell>
          <cell r="P657">
            <v>0.5</v>
          </cell>
          <cell r="Q657">
            <v>82.93</v>
          </cell>
        </row>
        <row r="658">
          <cell r="F658" t="str">
            <v>MBA EM GESTÃO DA QUALIDADE E GESTÃO AMBIENTAL</v>
          </cell>
          <cell r="G658" t="str">
            <v>Humanas</v>
          </cell>
          <cell r="H658">
            <v>12</v>
          </cell>
          <cell r="I658">
            <v>19</v>
          </cell>
          <cell r="J658">
            <v>184.28091221052631</v>
          </cell>
          <cell r="K658">
            <v>3501.3373320000001</v>
          </cell>
          <cell r="L658">
            <v>0.45</v>
          </cell>
          <cell r="M658">
            <v>91.22</v>
          </cell>
          <cell r="N658">
            <v>1733.18</v>
          </cell>
          <cell r="O658">
            <v>0.50499485320656334</v>
          </cell>
          <cell r="P658">
            <v>0.5</v>
          </cell>
          <cell r="Q658">
            <v>82.93</v>
          </cell>
        </row>
        <row r="659">
          <cell r="F659" t="str">
            <v>MBA EM GESTÃO DE EMPRESAS</v>
          </cell>
          <cell r="G659" t="str">
            <v>Humanas</v>
          </cell>
          <cell r="H659">
            <v>6</v>
          </cell>
          <cell r="I659">
            <v>13</v>
          </cell>
          <cell r="J659">
            <v>269.33202599999998</v>
          </cell>
          <cell r="K659">
            <v>3501.3163379999996</v>
          </cell>
          <cell r="L659">
            <v>0.45</v>
          </cell>
          <cell r="M659">
            <v>133.32</v>
          </cell>
          <cell r="N659">
            <v>1733.1599999999999</v>
          </cell>
          <cell r="O659">
            <v>0.50499759727794125</v>
          </cell>
          <cell r="P659">
            <v>0.5</v>
          </cell>
          <cell r="Q659">
            <v>121.2</v>
          </cell>
        </row>
        <row r="660">
          <cell r="F660" t="str">
            <v>MBA EM GESTÃO DE NEGÓCIOS DISRUPTIVOS E EXPERIÊNCIA EMPRESARIAL</v>
          </cell>
          <cell r="G660" t="str">
            <v>Exatas</v>
          </cell>
          <cell r="H660">
            <v>6</v>
          </cell>
          <cell r="I660">
            <v>13</v>
          </cell>
          <cell r="J660">
            <v>405.70905000000005</v>
          </cell>
          <cell r="K660">
            <v>5274.2176500000005</v>
          </cell>
          <cell r="L660">
            <v>0.45</v>
          </cell>
          <cell r="M660">
            <v>200.83</v>
          </cell>
          <cell r="N660">
            <v>2610.79</v>
          </cell>
          <cell r="O660">
            <v>0.50499009080522117</v>
          </cell>
          <cell r="P660">
            <v>0.5</v>
          </cell>
          <cell r="Q660">
            <v>182.57</v>
          </cell>
        </row>
        <row r="661">
          <cell r="F661" t="str">
            <v>MBA EM GESTÃO DE NEGÓCIOS EM SERVIÇOS DE ALIMENTAÇÃO</v>
          </cell>
          <cell r="G661" t="str">
            <v>Saúde</v>
          </cell>
          <cell r="H661">
            <v>12</v>
          </cell>
          <cell r="I661">
            <v>19</v>
          </cell>
          <cell r="J661">
            <v>184.28091221052631</v>
          </cell>
          <cell r="K661">
            <v>3501.3373320000001</v>
          </cell>
          <cell r="L661">
            <v>0.45</v>
          </cell>
          <cell r="M661">
            <v>91.22</v>
          </cell>
          <cell r="N661">
            <v>1733.18</v>
          </cell>
          <cell r="O661">
            <v>0.50499485320656334</v>
          </cell>
          <cell r="P661">
            <v>0.5</v>
          </cell>
          <cell r="Q661">
            <v>82.93</v>
          </cell>
        </row>
        <row r="662">
          <cell r="F662" t="str">
            <v>MBA EM GESTÃO DE NEGÓCIOS PARA GASTRONOMIA</v>
          </cell>
          <cell r="G662" t="str">
            <v>Humanas</v>
          </cell>
          <cell r="H662">
            <v>6</v>
          </cell>
          <cell r="I662">
            <v>13</v>
          </cell>
          <cell r="J662">
            <v>269.33202599999998</v>
          </cell>
          <cell r="K662">
            <v>3501.3163379999996</v>
          </cell>
          <cell r="L662">
            <v>0.45</v>
          </cell>
          <cell r="M662">
            <v>133.32</v>
          </cell>
          <cell r="N662">
            <v>1733.1599999999999</v>
          </cell>
          <cell r="O662">
            <v>0.50499759727794125</v>
          </cell>
          <cell r="P662">
            <v>0.5</v>
          </cell>
          <cell r="Q662">
            <v>121.2</v>
          </cell>
        </row>
        <row r="663">
          <cell r="F663" t="str">
            <v>MBA EM GESTÃO DE PESSOAS</v>
          </cell>
          <cell r="G663" t="str">
            <v>Humanas</v>
          </cell>
          <cell r="H663">
            <v>12</v>
          </cell>
          <cell r="I663">
            <v>19</v>
          </cell>
          <cell r="J663">
            <v>184.28091221052631</v>
          </cell>
          <cell r="K663">
            <v>3501.3373320000001</v>
          </cell>
          <cell r="L663">
            <v>0.45</v>
          </cell>
          <cell r="M663">
            <v>91.22</v>
          </cell>
          <cell r="N663">
            <v>1733.18</v>
          </cell>
          <cell r="O663">
            <v>0.50499485320656334</v>
          </cell>
          <cell r="P663">
            <v>0.5</v>
          </cell>
          <cell r="Q663">
            <v>82.93</v>
          </cell>
        </row>
        <row r="664">
          <cell r="F664" t="str">
            <v>MBA EM GESTÃO DE PESSOAS E RELAÇÕES TRABALHISTAS</v>
          </cell>
          <cell r="G664" t="str">
            <v>Humanas</v>
          </cell>
          <cell r="H664">
            <v>12</v>
          </cell>
          <cell r="I664">
            <v>19</v>
          </cell>
          <cell r="J664">
            <v>184.28091221052631</v>
          </cell>
          <cell r="K664">
            <v>3501.3373320000001</v>
          </cell>
          <cell r="L664">
            <v>0.45</v>
          </cell>
          <cell r="M664">
            <v>91.22</v>
          </cell>
          <cell r="N664">
            <v>1733.18</v>
          </cell>
          <cell r="O664">
            <v>0.50499485320656334</v>
          </cell>
          <cell r="P664">
            <v>0.5</v>
          </cell>
          <cell r="Q664">
            <v>82.93</v>
          </cell>
        </row>
        <row r="665">
          <cell r="F665" t="str">
            <v>MBA EM GESTÃO DE PROJETOS</v>
          </cell>
          <cell r="G665" t="str">
            <v>Humanas</v>
          </cell>
          <cell r="H665">
            <v>12</v>
          </cell>
          <cell r="I665">
            <v>19</v>
          </cell>
          <cell r="J665">
            <v>184.28091221052631</v>
          </cell>
          <cell r="K665">
            <v>3501.3373320000001</v>
          </cell>
          <cell r="L665">
            <v>0.45</v>
          </cell>
          <cell r="M665">
            <v>91.22</v>
          </cell>
          <cell r="N665">
            <v>1733.18</v>
          </cell>
          <cell r="O665">
            <v>0.50499485320656334</v>
          </cell>
          <cell r="P665">
            <v>0.5</v>
          </cell>
          <cell r="Q665">
            <v>82.93</v>
          </cell>
        </row>
        <row r="666">
          <cell r="F666" t="str">
            <v>MBA EM GESTÃO DE RELAÇÕES TRABALHISTAS</v>
          </cell>
          <cell r="G666" t="str">
            <v>Humanas</v>
          </cell>
          <cell r="H666">
            <v>6</v>
          </cell>
          <cell r="I666">
            <v>13</v>
          </cell>
          <cell r="J666">
            <v>269.33202599999998</v>
          </cell>
          <cell r="K666">
            <v>3501.3163379999996</v>
          </cell>
          <cell r="L666">
            <v>0.45</v>
          </cell>
          <cell r="M666">
            <v>133.32</v>
          </cell>
          <cell r="N666">
            <v>1733.1599999999999</v>
          </cell>
          <cell r="O666">
            <v>0.50499759727794125</v>
          </cell>
          <cell r="P666">
            <v>0.5</v>
          </cell>
          <cell r="Q666">
            <v>121.2</v>
          </cell>
        </row>
        <row r="667">
          <cell r="F667" t="str">
            <v>MBA EM GESTÃO DE TECNOLOGIAS DISRUPTIVAS E AUTOMAÇÃO DE PROCESSOS</v>
          </cell>
          <cell r="G667" t="str">
            <v>Exatas</v>
          </cell>
          <cell r="H667">
            <v>6</v>
          </cell>
          <cell r="I667">
            <v>13</v>
          </cell>
          <cell r="J667">
            <v>405.70905000000005</v>
          </cell>
          <cell r="K667">
            <v>5274.2176500000005</v>
          </cell>
          <cell r="L667">
            <v>0.45</v>
          </cell>
          <cell r="M667">
            <v>200.83</v>
          </cell>
          <cell r="N667">
            <v>2610.79</v>
          </cell>
          <cell r="O667">
            <v>0.50499009080522117</v>
          </cell>
          <cell r="P667">
            <v>0.5</v>
          </cell>
          <cell r="Q667">
            <v>182.57</v>
          </cell>
        </row>
        <row r="668">
          <cell r="F668" t="str">
            <v>MBA EM GESTÃO E CONSULTORIA EMPRESARIAL</v>
          </cell>
          <cell r="G668" t="str">
            <v>Humanas</v>
          </cell>
          <cell r="H668">
            <v>6</v>
          </cell>
          <cell r="I668">
            <v>13</v>
          </cell>
          <cell r="J668">
            <v>269.33202599999998</v>
          </cell>
          <cell r="K668">
            <v>3501.3163379999996</v>
          </cell>
          <cell r="L668">
            <v>0.45</v>
          </cell>
          <cell r="M668">
            <v>133.32</v>
          </cell>
          <cell r="N668">
            <v>1733.1599999999999</v>
          </cell>
          <cell r="O668">
            <v>0.50499759727794125</v>
          </cell>
          <cell r="P668">
            <v>0.5</v>
          </cell>
          <cell r="Q668">
            <v>121.2</v>
          </cell>
        </row>
        <row r="669">
          <cell r="F669" t="str">
            <v>MBA EM GESTÃO E CONSULTORIA ORGANIZACIONAL</v>
          </cell>
          <cell r="G669" t="str">
            <v>Humanas</v>
          </cell>
          <cell r="H669">
            <v>12</v>
          </cell>
          <cell r="I669">
            <v>19</v>
          </cell>
          <cell r="J669">
            <v>184.28091221052631</v>
          </cell>
          <cell r="K669">
            <v>3501.3373320000001</v>
          </cell>
          <cell r="L669">
            <v>0.45</v>
          </cell>
          <cell r="M669">
            <v>91.22</v>
          </cell>
          <cell r="N669">
            <v>1733.18</v>
          </cell>
          <cell r="O669">
            <v>0.50499485320656334</v>
          </cell>
          <cell r="P669">
            <v>0.5</v>
          </cell>
          <cell r="Q669">
            <v>82.93</v>
          </cell>
        </row>
        <row r="670">
          <cell r="F670" t="str">
            <v>MBA EM GESTÃO EM UNIDADES HOSPITALARES</v>
          </cell>
          <cell r="G670" t="str">
            <v>Humanas</v>
          </cell>
          <cell r="H670">
            <v>6</v>
          </cell>
          <cell r="I670">
            <v>13</v>
          </cell>
          <cell r="J670">
            <v>269.33202599999998</v>
          </cell>
          <cell r="K670">
            <v>3501.3163379999996</v>
          </cell>
          <cell r="L670">
            <v>0.45</v>
          </cell>
          <cell r="M670">
            <v>133.32</v>
          </cell>
          <cell r="N670">
            <v>1733.1599999999999</v>
          </cell>
          <cell r="O670">
            <v>0.50499759727794125</v>
          </cell>
          <cell r="P670">
            <v>0.5</v>
          </cell>
          <cell r="Q670">
            <v>121.2</v>
          </cell>
        </row>
        <row r="671">
          <cell r="F671" t="str">
            <v>MBA EM GESTÃO EMPREENDEDORA</v>
          </cell>
          <cell r="G671" t="str">
            <v>Humanas</v>
          </cell>
          <cell r="H671">
            <v>6</v>
          </cell>
          <cell r="I671">
            <v>13</v>
          </cell>
          <cell r="J671">
            <v>269.33202599999998</v>
          </cell>
          <cell r="K671">
            <v>3501.3163379999996</v>
          </cell>
          <cell r="L671">
            <v>0.45</v>
          </cell>
          <cell r="M671">
            <v>133.32</v>
          </cell>
          <cell r="N671">
            <v>1733.1599999999999</v>
          </cell>
          <cell r="O671">
            <v>0.50499759727794125</v>
          </cell>
          <cell r="P671">
            <v>0.5</v>
          </cell>
          <cell r="Q671">
            <v>121.2</v>
          </cell>
        </row>
        <row r="672">
          <cell r="F672" t="str">
            <v>MBA EM GESTÃO EMPRESARIAL</v>
          </cell>
          <cell r="G672" t="str">
            <v>Humanas</v>
          </cell>
          <cell r="H672">
            <v>12</v>
          </cell>
          <cell r="I672">
            <v>19</v>
          </cell>
          <cell r="J672">
            <v>184.28091221052631</v>
          </cell>
          <cell r="K672">
            <v>3501.3373320000001</v>
          </cell>
          <cell r="L672">
            <v>0.45</v>
          </cell>
          <cell r="M672">
            <v>91.22</v>
          </cell>
          <cell r="N672">
            <v>1733.18</v>
          </cell>
          <cell r="O672">
            <v>0.50499485320656334</v>
          </cell>
          <cell r="P672">
            <v>0.5</v>
          </cell>
          <cell r="Q672">
            <v>82.93</v>
          </cell>
        </row>
        <row r="673">
          <cell r="F673" t="str">
            <v>MBA EM GESTÃO HOSPITALAR</v>
          </cell>
          <cell r="G673" t="str">
            <v>Saúde</v>
          </cell>
          <cell r="H673">
            <v>12</v>
          </cell>
          <cell r="I673">
            <v>19</v>
          </cell>
          <cell r="J673">
            <v>184.28091221052631</v>
          </cell>
          <cell r="K673">
            <v>3501.3373320000001</v>
          </cell>
          <cell r="L673">
            <v>0.45</v>
          </cell>
          <cell r="M673">
            <v>91.22</v>
          </cell>
          <cell r="N673">
            <v>1733.18</v>
          </cell>
          <cell r="O673">
            <v>0.50499485320656334</v>
          </cell>
          <cell r="P673">
            <v>0.5</v>
          </cell>
          <cell r="Q673">
            <v>82.93</v>
          </cell>
        </row>
        <row r="674">
          <cell r="F674" t="str">
            <v>MBA EM GESTÃO PÚBLICA</v>
          </cell>
          <cell r="G674" t="str">
            <v>Humanas</v>
          </cell>
          <cell r="H674">
            <v>12</v>
          </cell>
          <cell r="I674">
            <v>19</v>
          </cell>
          <cell r="J674">
            <v>184.28091221052631</v>
          </cell>
          <cell r="K674">
            <v>3501.3373320000001</v>
          </cell>
          <cell r="L674">
            <v>0.45</v>
          </cell>
          <cell r="M674">
            <v>91.22</v>
          </cell>
          <cell r="N674">
            <v>1733.18</v>
          </cell>
          <cell r="O674">
            <v>0.50499485320656334</v>
          </cell>
          <cell r="P674">
            <v>0.5</v>
          </cell>
          <cell r="Q674">
            <v>82.93</v>
          </cell>
        </row>
        <row r="675">
          <cell r="F675" t="str">
            <v>MBA EM GESTÃO TECNOLÓGICA BIG DATA E INTELIGÊNCIA ARTIFICIAL</v>
          </cell>
          <cell r="G675" t="str">
            <v>Exatas</v>
          </cell>
          <cell r="H675">
            <v>6</v>
          </cell>
          <cell r="I675">
            <v>13</v>
          </cell>
          <cell r="J675">
            <v>405.70905000000005</v>
          </cell>
          <cell r="K675">
            <v>5274.2176500000005</v>
          </cell>
          <cell r="L675">
            <v>0.45</v>
          </cell>
          <cell r="M675">
            <v>200.83</v>
          </cell>
          <cell r="N675">
            <v>2610.79</v>
          </cell>
          <cell r="O675">
            <v>0.50499009080522117</v>
          </cell>
          <cell r="P675">
            <v>0.5</v>
          </cell>
          <cell r="Q675">
            <v>182.57</v>
          </cell>
        </row>
        <row r="676">
          <cell r="F676" t="str">
            <v>MBA EM GOVERNANÇA CORPORATIVA</v>
          </cell>
          <cell r="G676" t="str">
            <v>Negócios</v>
          </cell>
          <cell r="H676">
            <v>12</v>
          </cell>
          <cell r="I676">
            <v>19</v>
          </cell>
          <cell r="J676">
            <v>184.28091221052631</v>
          </cell>
          <cell r="K676">
            <v>3501.3373320000001</v>
          </cell>
          <cell r="L676">
            <v>0.45</v>
          </cell>
          <cell r="M676">
            <v>91.22</v>
          </cell>
          <cell r="N676">
            <v>1733.18</v>
          </cell>
          <cell r="O676">
            <v>0.50499485320656334</v>
          </cell>
          <cell r="P676">
            <v>0.5</v>
          </cell>
          <cell r="Q676">
            <v>82.93</v>
          </cell>
        </row>
        <row r="677">
          <cell r="F677" t="str">
            <v>MBA EM GOVERNANÇA EMPRESARIAL</v>
          </cell>
          <cell r="G677" t="str">
            <v>Humanas</v>
          </cell>
          <cell r="H677">
            <v>6</v>
          </cell>
          <cell r="I677">
            <v>13</v>
          </cell>
          <cell r="J677">
            <v>269.33202599999998</v>
          </cell>
          <cell r="K677">
            <v>3501.3163379999996</v>
          </cell>
          <cell r="L677">
            <v>0.45</v>
          </cell>
          <cell r="M677">
            <v>133.32</v>
          </cell>
          <cell r="N677">
            <v>1733.1599999999999</v>
          </cell>
          <cell r="O677">
            <v>0.50499759727794125</v>
          </cell>
          <cell r="P677">
            <v>0.5</v>
          </cell>
          <cell r="Q677">
            <v>121.2</v>
          </cell>
        </row>
        <row r="678">
          <cell r="F678" t="str">
            <v>MBA EM LGPD E COMPLIANCE DIGITAL</v>
          </cell>
          <cell r="G678" t="str">
            <v>Negócios</v>
          </cell>
          <cell r="H678">
            <v>12</v>
          </cell>
          <cell r="I678">
            <v>19</v>
          </cell>
          <cell r="J678">
            <v>277.58266800000001</v>
          </cell>
          <cell r="K678">
            <v>5274.0706920000002</v>
          </cell>
          <cell r="L678">
            <v>0.45</v>
          </cell>
          <cell r="M678">
            <v>137.4</v>
          </cell>
          <cell r="N678">
            <v>2610.6</v>
          </cell>
          <cell r="O678">
            <v>0.50501232303163834</v>
          </cell>
          <cell r="P678">
            <v>0.5</v>
          </cell>
          <cell r="Q678">
            <v>124.91</v>
          </cell>
        </row>
        <row r="679">
          <cell r="F679" t="str">
            <v>MBA EM LIDERANÇA E COACHING</v>
          </cell>
          <cell r="G679" t="str">
            <v>Negócios</v>
          </cell>
          <cell r="H679">
            <v>12</v>
          </cell>
          <cell r="I679">
            <v>19</v>
          </cell>
          <cell r="J679">
            <v>184.28091221052631</v>
          </cell>
          <cell r="K679">
            <v>3501.3373320000001</v>
          </cell>
          <cell r="L679">
            <v>0.45</v>
          </cell>
          <cell r="M679">
            <v>91.22</v>
          </cell>
          <cell r="N679">
            <v>1733.18</v>
          </cell>
          <cell r="O679">
            <v>0.50499485320656334</v>
          </cell>
          <cell r="P679">
            <v>0.5</v>
          </cell>
          <cell r="Q679">
            <v>82.93</v>
          </cell>
        </row>
        <row r="680">
          <cell r="F680" t="str">
            <v>MBA EM LOGÍSTICA EMPRESARIAL</v>
          </cell>
          <cell r="G680" t="str">
            <v>Humanas</v>
          </cell>
          <cell r="H680">
            <v>12</v>
          </cell>
          <cell r="I680">
            <v>19</v>
          </cell>
          <cell r="J680">
            <v>184.28091221052631</v>
          </cell>
          <cell r="K680">
            <v>3501.3373320000001</v>
          </cell>
          <cell r="L680">
            <v>0.45</v>
          </cell>
          <cell r="M680">
            <v>91.22</v>
          </cell>
          <cell r="N680">
            <v>1733.18</v>
          </cell>
          <cell r="O680">
            <v>0.50499485320656334</v>
          </cell>
          <cell r="P680">
            <v>0.5</v>
          </cell>
          <cell r="Q680">
            <v>82.93</v>
          </cell>
        </row>
        <row r="681">
          <cell r="F681" t="str">
            <v>MBA EM LOGÍSTICA NAS ORGANIZAÇÕES</v>
          </cell>
          <cell r="G681" t="str">
            <v>Humanas</v>
          </cell>
          <cell r="H681">
            <v>6</v>
          </cell>
          <cell r="I681">
            <v>13</v>
          </cell>
          <cell r="J681">
            <v>269.33202599999998</v>
          </cell>
          <cell r="K681">
            <v>3501.3163379999996</v>
          </cell>
          <cell r="L681">
            <v>0.45</v>
          </cell>
          <cell r="M681">
            <v>133.32</v>
          </cell>
          <cell r="N681">
            <v>1733.1599999999999</v>
          </cell>
          <cell r="O681">
            <v>0.50499759727794125</v>
          </cell>
          <cell r="P681">
            <v>0.5</v>
          </cell>
          <cell r="Q681">
            <v>121.2</v>
          </cell>
        </row>
        <row r="682">
          <cell r="F682" t="str">
            <v>MBA EM MARKETING E VENDAS</v>
          </cell>
          <cell r="G682" t="str">
            <v>Humanas</v>
          </cell>
          <cell r="H682">
            <v>6</v>
          </cell>
          <cell r="I682">
            <v>13</v>
          </cell>
          <cell r="J682">
            <v>269.33202599999998</v>
          </cell>
          <cell r="K682">
            <v>3501.3163379999996</v>
          </cell>
          <cell r="L682">
            <v>0.45</v>
          </cell>
          <cell r="M682">
            <v>133.32</v>
          </cell>
          <cell r="N682">
            <v>1733.1599999999999</v>
          </cell>
          <cell r="O682">
            <v>0.50499759727794125</v>
          </cell>
          <cell r="P682">
            <v>0.5</v>
          </cell>
          <cell r="Q682">
            <v>121.2</v>
          </cell>
        </row>
        <row r="683">
          <cell r="F683" t="str">
            <v>MBA EM MEIO AMBIENTE E GESTÃO DA QUALIDADE</v>
          </cell>
          <cell r="G683" t="str">
            <v>Humanas</v>
          </cell>
          <cell r="H683">
            <v>6</v>
          </cell>
          <cell r="I683">
            <v>13</v>
          </cell>
          <cell r="J683">
            <v>269.33202599999998</v>
          </cell>
          <cell r="K683">
            <v>3501.3163379999996</v>
          </cell>
          <cell r="L683">
            <v>0.45</v>
          </cell>
          <cell r="M683">
            <v>133.32</v>
          </cell>
          <cell r="N683">
            <v>1733.1599999999999</v>
          </cell>
          <cell r="O683">
            <v>0.50499759727794125</v>
          </cell>
          <cell r="P683">
            <v>0.5</v>
          </cell>
          <cell r="Q683">
            <v>121.2</v>
          </cell>
        </row>
        <row r="684">
          <cell r="F684" t="str">
            <v>MBA EM NEGÓCIOS DISRUPTIVOS E BUSINESS EXPERIENCE</v>
          </cell>
          <cell r="G684" t="str">
            <v>Negócios</v>
          </cell>
          <cell r="H684">
            <v>12</v>
          </cell>
          <cell r="I684">
            <v>19</v>
          </cell>
          <cell r="J684">
            <v>277.58266800000001</v>
          </cell>
          <cell r="K684">
            <v>5274.0706920000002</v>
          </cell>
          <cell r="L684">
            <v>0.45</v>
          </cell>
          <cell r="M684">
            <v>137.4</v>
          </cell>
          <cell r="N684">
            <v>2610.6</v>
          </cell>
          <cell r="O684">
            <v>0.50501232303163834</v>
          </cell>
          <cell r="P684">
            <v>0.5</v>
          </cell>
          <cell r="Q684">
            <v>124.91</v>
          </cell>
        </row>
        <row r="685">
          <cell r="F685" t="str">
            <v>MBA EM RECURSOS HUMANOS</v>
          </cell>
          <cell r="G685" t="str">
            <v>Humanas</v>
          </cell>
          <cell r="H685">
            <v>6</v>
          </cell>
          <cell r="I685">
            <v>13</v>
          </cell>
          <cell r="J685">
            <v>269.33202599999998</v>
          </cell>
          <cell r="K685">
            <v>3501.3163379999996</v>
          </cell>
          <cell r="L685">
            <v>0.45</v>
          </cell>
          <cell r="M685">
            <v>133.32</v>
          </cell>
          <cell r="N685">
            <v>1733.1599999999999</v>
          </cell>
          <cell r="O685">
            <v>0.50499759727794125</v>
          </cell>
          <cell r="P685">
            <v>0.5</v>
          </cell>
          <cell r="Q685">
            <v>121.2</v>
          </cell>
        </row>
        <row r="686">
          <cell r="F686" t="str">
            <v>MBA EM SAÚDE 5.0: INOVAÇÃO EM SAÚDE</v>
          </cell>
          <cell r="G686" t="str">
            <v>Saúde</v>
          </cell>
          <cell r="H686">
            <v>12</v>
          </cell>
          <cell r="I686">
            <v>19</v>
          </cell>
          <cell r="J686">
            <v>277.58266800000001</v>
          </cell>
          <cell r="K686">
            <v>5274.0706920000002</v>
          </cell>
          <cell r="L686">
            <v>0.45</v>
          </cell>
          <cell r="M686">
            <v>137.4</v>
          </cell>
          <cell r="N686">
            <v>2610.6</v>
          </cell>
          <cell r="O686">
            <v>0.50501232303163834</v>
          </cell>
          <cell r="P686">
            <v>0.5</v>
          </cell>
          <cell r="Q686">
            <v>124.91</v>
          </cell>
        </row>
        <row r="687">
          <cell r="F687" t="str">
            <v>MBA EM SAÚDE 5.0: TECNOLOGIA EM SAÚDE</v>
          </cell>
          <cell r="G687" t="str">
            <v>Saúde</v>
          </cell>
          <cell r="H687">
            <v>6</v>
          </cell>
          <cell r="I687">
            <v>13</v>
          </cell>
          <cell r="J687">
            <v>405.70905000000005</v>
          </cell>
          <cell r="K687">
            <v>5274.2176500000005</v>
          </cell>
          <cell r="L687">
            <v>0.45</v>
          </cell>
          <cell r="M687">
            <v>200.83</v>
          </cell>
          <cell r="N687">
            <v>2610.79</v>
          </cell>
          <cell r="O687">
            <v>0.50499009080522117</v>
          </cell>
          <cell r="P687">
            <v>0.5</v>
          </cell>
          <cell r="Q687">
            <v>182.57</v>
          </cell>
        </row>
        <row r="688">
          <cell r="F688" t="str">
            <v>MBA EM TECNOLOGIAS PARA GESTÃO: BIG DATA E INTELIGÊNCIA ARTIFICIAL</v>
          </cell>
          <cell r="G688" t="str">
            <v>Negócios</v>
          </cell>
          <cell r="H688">
            <v>12</v>
          </cell>
          <cell r="I688">
            <v>19</v>
          </cell>
          <cell r="J688">
            <v>277.58266800000001</v>
          </cell>
          <cell r="K688">
            <v>5274.0706920000002</v>
          </cell>
          <cell r="L688">
            <v>0.45</v>
          </cell>
          <cell r="M688">
            <v>137.4</v>
          </cell>
          <cell r="N688">
            <v>2610.6</v>
          </cell>
          <cell r="O688">
            <v>0.50501232303163834</v>
          </cell>
          <cell r="P688">
            <v>0.5</v>
          </cell>
          <cell r="Q688">
            <v>124.91</v>
          </cell>
        </row>
        <row r="690">
          <cell r="F690" t="str">
            <v>ESPECIALIZAÇÃO EM ADMINISTRAÇÃO DE CONTRATOS PÚBLICOS</v>
          </cell>
          <cell r="G690" t="str">
            <v>Humanas</v>
          </cell>
          <cell r="H690">
            <v>6</v>
          </cell>
          <cell r="I690">
            <v>13</v>
          </cell>
          <cell r="J690">
            <v>269.33202599999998</v>
          </cell>
          <cell r="K690">
            <v>3501.3163379999996</v>
          </cell>
          <cell r="L690">
            <v>0.45</v>
          </cell>
          <cell r="M690">
            <v>133.32</v>
          </cell>
          <cell r="N690">
            <v>1733.1599999999999</v>
          </cell>
          <cell r="O690">
            <v>0.50499759727794125</v>
          </cell>
          <cell r="P690">
            <v>0.5</v>
          </cell>
          <cell r="Q690">
            <v>121.2</v>
          </cell>
        </row>
        <row r="691">
          <cell r="F691" t="str">
            <v>ESPECIALIZAÇÃO EM ADMINISTRAÇÃO DE DEPARTAMENTO PESSOAL</v>
          </cell>
          <cell r="G691" t="str">
            <v>Negócios</v>
          </cell>
          <cell r="H691">
            <v>12</v>
          </cell>
          <cell r="I691">
            <v>19</v>
          </cell>
          <cell r="J691">
            <v>184.28091221052631</v>
          </cell>
          <cell r="K691">
            <v>3501.3373320000001</v>
          </cell>
          <cell r="L691">
            <v>0.45</v>
          </cell>
          <cell r="M691">
            <v>91.22</v>
          </cell>
          <cell r="N691">
            <v>1733.18</v>
          </cell>
          <cell r="O691">
            <v>0.50499485320656334</v>
          </cell>
          <cell r="P691">
            <v>0.5</v>
          </cell>
          <cell r="Q691">
            <v>82.93</v>
          </cell>
        </row>
        <row r="692">
          <cell r="F692" t="str">
            <v>ESPECIALIZAÇÃO EM ADMINISTRAÇÃO DE PROTEÇÃO DE DADOS</v>
          </cell>
          <cell r="G692" t="str">
            <v>Exatas</v>
          </cell>
          <cell r="H692">
            <v>6</v>
          </cell>
          <cell r="I692">
            <v>13</v>
          </cell>
          <cell r="J692">
            <v>405.70905000000005</v>
          </cell>
          <cell r="K692">
            <v>5274.2176500000005</v>
          </cell>
          <cell r="L692">
            <v>0.45</v>
          </cell>
          <cell r="M692">
            <v>200.83</v>
          </cell>
          <cell r="N692">
            <v>2610.79</v>
          </cell>
          <cell r="O692">
            <v>0.50499009080522117</v>
          </cell>
          <cell r="P692">
            <v>0.5</v>
          </cell>
          <cell r="Q692">
            <v>182.57</v>
          </cell>
        </row>
        <row r="693">
          <cell r="F693" t="str">
            <v>ESPECIALIZAÇÃO EM ADMINISTRAÇÃO EM SAÚDE PÚBLICA</v>
          </cell>
          <cell r="G693" t="str">
            <v>Humanas</v>
          </cell>
          <cell r="H693">
            <v>6</v>
          </cell>
          <cell r="I693">
            <v>13</v>
          </cell>
          <cell r="J693">
            <v>405.70905000000005</v>
          </cell>
          <cell r="K693">
            <v>5274.2176500000005</v>
          </cell>
          <cell r="L693">
            <v>0.45</v>
          </cell>
          <cell r="M693">
            <v>200.83</v>
          </cell>
          <cell r="N693">
            <v>2610.79</v>
          </cell>
          <cell r="O693">
            <v>0.50499009080522117</v>
          </cell>
          <cell r="P693">
            <v>0.5</v>
          </cell>
          <cell r="Q693">
            <v>182.57</v>
          </cell>
        </row>
        <row r="694">
          <cell r="F694" t="str">
            <v>ESPECIALIZAÇÃO EM ADMINISTRAÇÃO PÚBLICA E DIREITO PÚBLICO</v>
          </cell>
          <cell r="G694" t="str">
            <v>Humanas</v>
          </cell>
          <cell r="H694">
            <v>6</v>
          </cell>
          <cell r="I694">
            <v>13</v>
          </cell>
          <cell r="J694">
            <v>405.70905000000005</v>
          </cell>
          <cell r="K694">
            <v>5274.2176500000005</v>
          </cell>
          <cell r="L694">
            <v>0.45</v>
          </cell>
          <cell r="M694">
            <v>200.83</v>
          </cell>
          <cell r="N694">
            <v>2610.79</v>
          </cell>
          <cell r="O694">
            <v>0.50499009080522117</v>
          </cell>
          <cell r="P694">
            <v>0.5</v>
          </cell>
          <cell r="Q694">
            <v>182.57</v>
          </cell>
        </row>
        <row r="695">
          <cell r="F695" t="str">
            <v>ESPECIALIZAÇÃO EM ALFABETIZAÇÃO E LETRAMENTO</v>
          </cell>
          <cell r="G695" t="str">
            <v>Humanas</v>
          </cell>
          <cell r="H695">
            <v>12</v>
          </cell>
          <cell r="I695">
            <v>19</v>
          </cell>
          <cell r="J695">
            <v>184.28091221052631</v>
          </cell>
          <cell r="K695">
            <v>3501.3373320000001</v>
          </cell>
          <cell r="L695">
            <v>0.45</v>
          </cell>
          <cell r="M695">
            <v>91.22</v>
          </cell>
          <cell r="N695">
            <v>1733.18</v>
          </cell>
          <cell r="O695">
            <v>0.50499485320656334</v>
          </cell>
          <cell r="P695">
            <v>0.5</v>
          </cell>
          <cell r="Q695">
            <v>82.93</v>
          </cell>
        </row>
        <row r="696">
          <cell r="F696" t="str">
            <v>ESPECIALIZAÇÃO EM ANÁLISES CLÍNICAS</v>
          </cell>
          <cell r="G696" t="str">
            <v>Saúde</v>
          </cell>
          <cell r="H696">
            <v>12</v>
          </cell>
          <cell r="I696">
            <v>19</v>
          </cell>
          <cell r="J696">
            <v>277.58266800000001</v>
          </cell>
          <cell r="K696">
            <v>5274.0706920000002</v>
          </cell>
          <cell r="L696">
            <v>0.45</v>
          </cell>
          <cell r="M696">
            <v>137.4</v>
          </cell>
          <cell r="N696">
            <v>2610.6</v>
          </cell>
          <cell r="O696">
            <v>0.50501232303163834</v>
          </cell>
          <cell r="P696">
            <v>0.5</v>
          </cell>
          <cell r="Q696">
            <v>124.91</v>
          </cell>
        </row>
        <row r="697">
          <cell r="F697" t="str">
            <v>ESPECIALIZAÇÃO EM ANÁLISES CLÍNICAS E DIAGNÓSTICO LABORATORIAL</v>
          </cell>
          <cell r="G697" t="str">
            <v>Saúde</v>
          </cell>
          <cell r="H697">
            <v>12</v>
          </cell>
          <cell r="I697">
            <v>19</v>
          </cell>
          <cell r="J697">
            <v>277.58266800000001</v>
          </cell>
          <cell r="K697">
            <v>5274.0706920000002</v>
          </cell>
          <cell r="L697">
            <v>0.45</v>
          </cell>
          <cell r="M697">
            <v>137.4</v>
          </cell>
          <cell r="N697">
            <v>2610.6</v>
          </cell>
          <cell r="O697">
            <v>0.50501232303163834</v>
          </cell>
          <cell r="P697">
            <v>0.5</v>
          </cell>
          <cell r="Q697">
            <v>124.91</v>
          </cell>
        </row>
        <row r="698">
          <cell r="F698" t="str">
            <v>ESPECIALIZAÇÃO EM ANÁLISES CLÍNICAS E TOXICOLÓGICAS</v>
          </cell>
          <cell r="G698" t="str">
            <v>Saúde</v>
          </cell>
          <cell r="H698">
            <v>6</v>
          </cell>
          <cell r="I698">
            <v>13</v>
          </cell>
          <cell r="J698">
            <v>405.70905000000005</v>
          </cell>
          <cell r="K698">
            <v>5274.2176500000005</v>
          </cell>
          <cell r="L698">
            <v>0.45</v>
          </cell>
          <cell r="M698">
            <v>200.83</v>
          </cell>
          <cell r="N698">
            <v>2610.79</v>
          </cell>
          <cell r="O698">
            <v>0.50499009080522117</v>
          </cell>
          <cell r="P698">
            <v>0.5</v>
          </cell>
          <cell r="Q698">
            <v>182.57</v>
          </cell>
        </row>
        <row r="699">
          <cell r="F699" t="str">
            <v>ESPECIALIZAÇÃO EM ANTROPOLOGIA E FUNDAMENTOS DA EDUCAÇÃO SOCIAL</v>
          </cell>
          <cell r="G699" t="str">
            <v>Humanas</v>
          </cell>
          <cell r="H699">
            <v>12</v>
          </cell>
          <cell r="I699">
            <v>19</v>
          </cell>
          <cell r="J699">
            <v>184.28091221052631</v>
          </cell>
          <cell r="K699">
            <v>3501.3373320000001</v>
          </cell>
          <cell r="L699">
            <v>0.45</v>
          </cell>
          <cell r="M699">
            <v>91.22</v>
          </cell>
          <cell r="N699">
            <v>1733.18</v>
          </cell>
          <cell r="O699">
            <v>0.50499485320656334</v>
          </cell>
          <cell r="P699">
            <v>0.5</v>
          </cell>
          <cell r="Q699">
            <v>82.93</v>
          </cell>
        </row>
        <row r="700">
          <cell r="F700" t="str">
            <v>ESPECIALIZAÇÃO EM ARQUITETURA DE CLOUD COMPUTING</v>
          </cell>
          <cell r="G700" t="str">
            <v>Negócios</v>
          </cell>
          <cell r="H700">
            <v>12</v>
          </cell>
          <cell r="I700">
            <v>19</v>
          </cell>
          <cell r="J700">
            <v>277.58266800000001</v>
          </cell>
          <cell r="K700">
            <v>5274.0706920000002</v>
          </cell>
          <cell r="L700">
            <v>0.45</v>
          </cell>
          <cell r="M700">
            <v>137.4</v>
          </cell>
          <cell r="N700">
            <v>2610.6</v>
          </cell>
          <cell r="O700">
            <v>0.50501232303163834</v>
          </cell>
          <cell r="P700">
            <v>0.5</v>
          </cell>
          <cell r="Q700">
            <v>124.91</v>
          </cell>
        </row>
        <row r="701">
          <cell r="F701" t="str">
            <v>ESPECIALIZAÇÃO EM ARQUITETURA DE COMPUTAÇÃO EM NUVEM</v>
          </cell>
          <cell r="G701" t="str">
            <v>Exatas</v>
          </cell>
          <cell r="H701">
            <v>6</v>
          </cell>
          <cell r="I701">
            <v>13</v>
          </cell>
          <cell r="J701">
            <v>405.70905000000005</v>
          </cell>
          <cell r="K701">
            <v>5274.2176500000005</v>
          </cell>
          <cell r="L701">
            <v>0.45</v>
          </cell>
          <cell r="M701">
            <v>200.83</v>
          </cell>
          <cell r="N701">
            <v>2610.79</v>
          </cell>
          <cell r="O701">
            <v>0.50499009080522117</v>
          </cell>
          <cell r="P701">
            <v>0.5</v>
          </cell>
          <cell r="Q701">
            <v>182.57</v>
          </cell>
        </row>
        <row r="702">
          <cell r="F702" t="str">
            <v>ESPECIALIZAÇÃO EM AUDITORIA DA QUALIDADE</v>
          </cell>
          <cell r="G702" t="str">
            <v>Humanas</v>
          </cell>
          <cell r="H702">
            <v>12</v>
          </cell>
          <cell r="I702">
            <v>19</v>
          </cell>
          <cell r="J702">
            <v>184.28091221052631</v>
          </cell>
          <cell r="K702">
            <v>3501.3373320000001</v>
          </cell>
          <cell r="L702">
            <v>0.45</v>
          </cell>
          <cell r="M702">
            <v>91.22</v>
          </cell>
          <cell r="N702">
            <v>1733.18</v>
          </cell>
          <cell r="O702">
            <v>0.50499485320656334</v>
          </cell>
          <cell r="P702">
            <v>0.5</v>
          </cell>
          <cell r="Q702">
            <v>82.93</v>
          </cell>
        </row>
        <row r="703">
          <cell r="F703" t="str">
            <v>ESPECIALIZAÇÃO EM AULAS ON-LINE PARA EDUCAÇÃO BÁSICA</v>
          </cell>
          <cell r="G703" t="str">
            <v>Humanas</v>
          </cell>
          <cell r="H703">
            <v>4</v>
          </cell>
          <cell r="I703">
            <v>7</v>
          </cell>
          <cell r="J703">
            <v>269.33202599999998</v>
          </cell>
          <cell r="K703">
            <v>1885.3241819999998</v>
          </cell>
          <cell r="L703">
            <v>0.45</v>
          </cell>
          <cell r="M703">
            <v>133.32</v>
          </cell>
          <cell r="N703">
            <v>933.24</v>
          </cell>
          <cell r="O703">
            <v>0.50499759727794125</v>
          </cell>
          <cell r="P703">
            <v>0.5</v>
          </cell>
          <cell r="Q703">
            <v>121.2</v>
          </cell>
        </row>
        <row r="704">
          <cell r="F704" t="str">
            <v>ESPECIALIZAÇÃO EM CIBERSEGURANÇA: MONITORAMENTO E PROTEÇÃO DIGITAL DE NEGÓCIOS</v>
          </cell>
          <cell r="G704" t="str">
            <v>Negócios</v>
          </cell>
          <cell r="H704">
            <v>12</v>
          </cell>
          <cell r="I704">
            <v>19</v>
          </cell>
          <cell r="J704">
            <v>277.58266800000001</v>
          </cell>
          <cell r="K704">
            <v>5274.0706920000002</v>
          </cell>
          <cell r="L704">
            <v>0.45</v>
          </cell>
          <cell r="M704">
            <v>137.4</v>
          </cell>
          <cell r="N704">
            <v>2610.6</v>
          </cell>
          <cell r="O704">
            <v>0.50501232303163834</v>
          </cell>
          <cell r="P704">
            <v>0.5</v>
          </cell>
          <cell r="Q704">
            <v>124.91</v>
          </cell>
        </row>
        <row r="705">
          <cell r="F705" t="str">
            <v>ESPECIALIZAÇÃO EM CIÊNCIAS DE DADOS</v>
          </cell>
          <cell r="G705" t="str">
            <v>Exatas</v>
          </cell>
          <cell r="H705">
            <v>6</v>
          </cell>
          <cell r="I705">
            <v>13</v>
          </cell>
          <cell r="J705">
            <v>269.33202599999998</v>
          </cell>
          <cell r="K705">
            <v>3501.3163379999996</v>
          </cell>
          <cell r="L705">
            <v>0.45</v>
          </cell>
          <cell r="M705">
            <v>133.32</v>
          </cell>
          <cell r="N705">
            <v>1733.1599999999999</v>
          </cell>
          <cell r="O705">
            <v>0.50499759727794125</v>
          </cell>
          <cell r="P705">
            <v>0.5</v>
          </cell>
          <cell r="Q705">
            <v>121.2</v>
          </cell>
        </row>
        <row r="706">
          <cell r="F706" t="str">
            <v>ESPECIALIZAÇÃO EM COMUNICAÇÃO E MARKETING POLÍTICO</v>
          </cell>
          <cell r="G706" t="str">
            <v>Humanas</v>
          </cell>
          <cell r="H706">
            <v>12</v>
          </cell>
          <cell r="I706">
            <v>19</v>
          </cell>
          <cell r="J706">
            <v>184.28091221052631</v>
          </cell>
          <cell r="K706">
            <v>3501.3373320000001</v>
          </cell>
          <cell r="L706">
            <v>0.45</v>
          </cell>
          <cell r="M706">
            <v>91.22</v>
          </cell>
          <cell r="N706">
            <v>1733.18</v>
          </cell>
          <cell r="O706">
            <v>0.50499485320656334</v>
          </cell>
          <cell r="P706">
            <v>0.5</v>
          </cell>
          <cell r="Q706">
            <v>82.93</v>
          </cell>
        </row>
        <row r="707">
          <cell r="F707" t="str">
            <v>ESPECIALIZAÇÃO EM COMUNICAÇÃO E PORTUGUÊS JURÍDICO</v>
          </cell>
          <cell r="G707" t="str">
            <v>Humanas</v>
          </cell>
          <cell r="H707">
            <v>6</v>
          </cell>
          <cell r="I707">
            <v>13</v>
          </cell>
          <cell r="J707">
            <v>269.33202599999998</v>
          </cell>
          <cell r="K707">
            <v>3501.3163379999996</v>
          </cell>
          <cell r="L707">
            <v>0.45</v>
          </cell>
          <cell r="M707">
            <v>133.32</v>
          </cell>
          <cell r="N707">
            <v>1733.1599999999999</v>
          </cell>
          <cell r="O707">
            <v>0.50499759727794125</v>
          </cell>
          <cell r="P707">
            <v>0.5</v>
          </cell>
          <cell r="Q707">
            <v>121.2</v>
          </cell>
        </row>
        <row r="708">
          <cell r="F708" t="str">
            <v>ESPECIALIZAÇÃO EM COMUNICAÇÃO ESTRATÉGICA E MARKETING POLÍTICO</v>
          </cell>
          <cell r="G708" t="str">
            <v>Humanas</v>
          </cell>
          <cell r="H708">
            <v>6</v>
          </cell>
          <cell r="I708">
            <v>13</v>
          </cell>
          <cell r="J708">
            <v>269.33202599999998</v>
          </cell>
          <cell r="K708">
            <v>3501.3163379999996</v>
          </cell>
          <cell r="L708">
            <v>0.45</v>
          </cell>
          <cell r="M708">
            <v>133.32</v>
          </cell>
          <cell r="N708">
            <v>1733.1599999999999</v>
          </cell>
          <cell r="O708">
            <v>0.50499759727794125</v>
          </cell>
          <cell r="P708">
            <v>0.5</v>
          </cell>
          <cell r="Q708">
            <v>121.2</v>
          </cell>
        </row>
        <row r="709">
          <cell r="F709" t="str">
            <v>ESPECIALIZAÇÃO EM CONTABILIDADE GERENCIAL</v>
          </cell>
          <cell r="G709" t="str">
            <v>Exatas</v>
          </cell>
          <cell r="H709">
            <v>6</v>
          </cell>
          <cell r="I709">
            <v>13</v>
          </cell>
          <cell r="J709">
            <v>269.33202599999998</v>
          </cell>
          <cell r="K709">
            <v>3501.3163379999996</v>
          </cell>
          <cell r="L709">
            <v>0.45</v>
          </cell>
          <cell r="M709">
            <v>133.32</v>
          </cell>
          <cell r="N709">
            <v>1733.1599999999999</v>
          </cell>
          <cell r="O709">
            <v>0.50499759727794125</v>
          </cell>
          <cell r="P709">
            <v>0.5</v>
          </cell>
          <cell r="Q709">
            <v>121.2</v>
          </cell>
        </row>
        <row r="710">
          <cell r="F710" t="str">
            <v>ESPECIALIZAÇÃO EM CONTROLE E QUALIDADE EM PROCESSOS, PRODUTOS E SERVIÇOS</v>
          </cell>
          <cell r="G710" t="str">
            <v>Exatas</v>
          </cell>
          <cell r="H710">
            <v>6</v>
          </cell>
          <cell r="I710">
            <v>13</v>
          </cell>
          <cell r="J710">
            <v>269.33202599999998</v>
          </cell>
          <cell r="K710">
            <v>3501.3163379999996</v>
          </cell>
          <cell r="L710">
            <v>0.45</v>
          </cell>
          <cell r="M710">
            <v>133.32</v>
          </cell>
          <cell r="N710">
            <v>1733.1599999999999</v>
          </cell>
          <cell r="O710">
            <v>0.50499759727794125</v>
          </cell>
          <cell r="P710">
            <v>0.5</v>
          </cell>
          <cell r="Q710">
            <v>121.2</v>
          </cell>
        </row>
        <row r="711">
          <cell r="F711" t="str">
            <v>ESPECIALIZAÇÃO EM COSMETOLOGIA ESTÉTICA</v>
          </cell>
          <cell r="G711" t="str">
            <v>Saúde</v>
          </cell>
          <cell r="H711">
            <v>12</v>
          </cell>
          <cell r="I711">
            <v>19</v>
          </cell>
          <cell r="J711">
            <v>277.58266800000001</v>
          </cell>
          <cell r="K711">
            <v>5274.0706920000002</v>
          </cell>
          <cell r="L711">
            <v>0.45</v>
          </cell>
          <cell r="M711">
            <v>137.4</v>
          </cell>
          <cell r="N711">
            <v>2610.6</v>
          </cell>
          <cell r="O711">
            <v>0.50501232303163834</v>
          </cell>
          <cell r="P711">
            <v>0.5</v>
          </cell>
          <cell r="Q711">
            <v>124.91</v>
          </cell>
        </row>
        <row r="712">
          <cell r="F712" t="str">
            <v>ESPECIALIZAÇÃO EM CUIDADO FARMACÊUTICO ONCOLÓGICO</v>
          </cell>
          <cell r="G712" t="str">
            <v>Saúde</v>
          </cell>
          <cell r="H712">
            <v>6</v>
          </cell>
          <cell r="I712">
            <v>13</v>
          </cell>
          <cell r="J712">
            <v>405.70905000000005</v>
          </cell>
          <cell r="K712">
            <v>5274.2176500000005</v>
          </cell>
          <cell r="L712">
            <v>0.45</v>
          </cell>
          <cell r="M712">
            <v>200.83</v>
          </cell>
          <cell r="N712">
            <v>2610.79</v>
          </cell>
          <cell r="O712">
            <v>0.50499009080522117</v>
          </cell>
          <cell r="P712">
            <v>0.5</v>
          </cell>
          <cell r="Q712">
            <v>182.57</v>
          </cell>
        </row>
        <row r="713">
          <cell r="F713" t="str">
            <v>ESPECIALIZAÇÃO EM DATA SCIENCE</v>
          </cell>
          <cell r="G713" t="str">
            <v>Exatas</v>
          </cell>
          <cell r="H713">
            <v>12</v>
          </cell>
          <cell r="I713">
            <v>19</v>
          </cell>
          <cell r="J713">
            <v>184.28091221052631</v>
          </cell>
          <cell r="K713">
            <v>3501.3373320000001</v>
          </cell>
          <cell r="L713">
            <v>0.45</v>
          </cell>
          <cell r="M713">
            <v>91.22</v>
          </cell>
          <cell r="N713">
            <v>1733.18</v>
          </cell>
          <cell r="O713">
            <v>0.50499485320656334</v>
          </cell>
          <cell r="P713">
            <v>0.5</v>
          </cell>
          <cell r="Q713">
            <v>82.93</v>
          </cell>
        </row>
        <row r="714">
          <cell r="F714" t="str">
            <v>ESPECIALIZAÇÃO EM DESIGN DE INTERIORES</v>
          </cell>
          <cell r="G714" t="str">
            <v>Exatas</v>
          </cell>
          <cell r="H714">
            <v>12</v>
          </cell>
          <cell r="I714">
            <v>19</v>
          </cell>
          <cell r="J714">
            <v>184.28091221052631</v>
          </cell>
          <cell r="K714">
            <v>3501.3373320000001</v>
          </cell>
          <cell r="L714">
            <v>0.45</v>
          </cell>
          <cell r="M714">
            <v>91.22</v>
          </cell>
          <cell r="N714">
            <v>1733.18</v>
          </cell>
          <cell r="O714">
            <v>0.50499485320656334</v>
          </cell>
          <cell r="P714">
            <v>0.5</v>
          </cell>
          <cell r="Q714">
            <v>82.93</v>
          </cell>
        </row>
        <row r="715">
          <cell r="F715" t="str">
            <v>ESPECIALIZAÇÃO EM DESIGN DE INTERIORES COM ÊNFASE EM PROJETOS COMERCIAIS</v>
          </cell>
          <cell r="G715" t="str">
            <v>Exatas</v>
          </cell>
          <cell r="H715">
            <v>12</v>
          </cell>
          <cell r="I715">
            <v>19</v>
          </cell>
          <cell r="J715">
            <v>184.28091221052631</v>
          </cell>
          <cell r="K715">
            <v>3501.3373320000001</v>
          </cell>
          <cell r="L715">
            <v>0.45</v>
          </cell>
          <cell r="M715">
            <v>91.22</v>
          </cell>
          <cell r="N715">
            <v>1733.18</v>
          </cell>
          <cell r="O715">
            <v>0.50499485320656334</v>
          </cell>
          <cell r="P715">
            <v>0.5</v>
          </cell>
          <cell r="Q715">
            <v>82.93</v>
          </cell>
        </row>
        <row r="716">
          <cell r="F716" t="str">
            <v>ESPECIALIZAÇÃO EM DESIGN DE PROJETOS COMERCIAIS</v>
          </cell>
          <cell r="G716" t="str">
            <v>Exatas</v>
          </cell>
          <cell r="H716">
            <v>6</v>
          </cell>
          <cell r="I716">
            <v>13</v>
          </cell>
          <cell r="J716">
            <v>269.33202599999998</v>
          </cell>
          <cell r="K716">
            <v>3501.3163379999996</v>
          </cell>
          <cell r="L716">
            <v>0.45</v>
          </cell>
          <cell r="M716">
            <v>133.32</v>
          </cell>
          <cell r="N716">
            <v>1733.1599999999999</v>
          </cell>
          <cell r="O716">
            <v>0.50499759727794125</v>
          </cell>
          <cell r="P716">
            <v>0.5</v>
          </cell>
          <cell r="Q716">
            <v>121.2</v>
          </cell>
        </row>
        <row r="717">
          <cell r="F717" t="str">
            <v>ESPECIALIZAÇÃO EM DEVOPS</v>
          </cell>
          <cell r="G717" t="str">
            <v>Exatas</v>
          </cell>
          <cell r="H717">
            <v>6</v>
          </cell>
          <cell r="I717">
            <v>13</v>
          </cell>
          <cell r="J717">
            <v>405.70905000000005</v>
          </cell>
          <cell r="K717">
            <v>5274.2176500000005</v>
          </cell>
          <cell r="L717">
            <v>0.45</v>
          </cell>
          <cell r="M717">
            <v>200.83</v>
          </cell>
          <cell r="N717">
            <v>2610.79</v>
          </cell>
          <cell r="O717">
            <v>0.50499009080522117</v>
          </cell>
          <cell r="P717">
            <v>0.5</v>
          </cell>
          <cell r="Q717">
            <v>182.57</v>
          </cell>
        </row>
        <row r="718">
          <cell r="F718" t="str">
            <v>ESPECIALIZAÇÃO EM DIAGNÓSTICO LABORATORIAL E ANÁLISES CLÍNICAS</v>
          </cell>
          <cell r="G718" t="str">
            <v>Saúde</v>
          </cell>
          <cell r="H718">
            <v>6</v>
          </cell>
          <cell r="I718">
            <v>13</v>
          </cell>
          <cell r="J718">
            <v>405.70905000000005</v>
          </cell>
          <cell r="K718">
            <v>5274.2176500000005</v>
          </cell>
          <cell r="L718">
            <v>0.45</v>
          </cell>
          <cell r="M718">
            <v>200.83</v>
          </cell>
          <cell r="N718">
            <v>2610.79</v>
          </cell>
          <cell r="O718">
            <v>0.50499009080522117</v>
          </cell>
          <cell r="P718">
            <v>0.5</v>
          </cell>
          <cell r="Q718">
            <v>182.57</v>
          </cell>
        </row>
        <row r="719">
          <cell r="F719" t="str">
            <v>ESPECIALIZAÇÃO EM DIDÁTICA E METODOLOGIA DO ENSINO DE GEOGRAFIA</v>
          </cell>
          <cell r="G719" t="str">
            <v>Humanas</v>
          </cell>
          <cell r="H719">
            <v>12</v>
          </cell>
          <cell r="I719">
            <v>19</v>
          </cell>
          <cell r="J719">
            <v>184.28091221052631</v>
          </cell>
          <cell r="K719">
            <v>3501.3373320000001</v>
          </cell>
          <cell r="L719">
            <v>0.45</v>
          </cell>
          <cell r="M719">
            <v>91.22</v>
          </cell>
          <cell r="N719">
            <v>1733.18</v>
          </cell>
          <cell r="O719">
            <v>0.50499485320656334</v>
          </cell>
          <cell r="P719">
            <v>0.5</v>
          </cell>
          <cell r="Q719">
            <v>82.93</v>
          </cell>
        </row>
        <row r="720">
          <cell r="F720" t="str">
            <v>ESPECIALIZAÇÃO EM DIDÁTICA E METODOLOGIA DO ENSINO DE LÍNGUA PORTUGUESA</v>
          </cell>
          <cell r="G720" t="str">
            <v>Humanas</v>
          </cell>
          <cell r="H720">
            <v>12</v>
          </cell>
          <cell r="I720">
            <v>19</v>
          </cell>
          <cell r="J720">
            <v>184.28091221052631</v>
          </cell>
          <cell r="K720">
            <v>3501.3373320000001</v>
          </cell>
          <cell r="L720">
            <v>0.45</v>
          </cell>
          <cell r="M720">
            <v>91.22</v>
          </cell>
          <cell r="N720">
            <v>1733.18</v>
          </cell>
          <cell r="O720">
            <v>0.50499485320656334</v>
          </cell>
          <cell r="P720">
            <v>0.5</v>
          </cell>
          <cell r="Q720">
            <v>82.93</v>
          </cell>
        </row>
        <row r="721">
          <cell r="F721" t="str">
            <v>ESPECIALIZAÇÃO EM DIGITAL INFLUENCER</v>
          </cell>
          <cell r="G721" t="str">
            <v>Humanas</v>
          </cell>
          <cell r="H721">
            <v>12</v>
          </cell>
          <cell r="I721">
            <v>19</v>
          </cell>
          <cell r="J721">
            <v>184.28091221052631</v>
          </cell>
          <cell r="K721">
            <v>3501.3373320000001</v>
          </cell>
          <cell r="L721">
            <v>0.45</v>
          </cell>
          <cell r="M721">
            <v>91.22</v>
          </cell>
          <cell r="N721">
            <v>1733.18</v>
          </cell>
          <cell r="O721">
            <v>0.50499485320656334</v>
          </cell>
          <cell r="P721">
            <v>0.5</v>
          </cell>
          <cell r="Q721">
            <v>82.93</v>
          </cell>
        </row>
        <row r="722">
          <cell r="F722" t="str">
            <v>ESPECIALIZAÇÃO EM DIGITAL SECURITY</v>
          </cell>
          <cell r="G722" t="str">
            <v>Exatas</v>
          </cell>
          <cell r="H722">
            <v>12</v>
          </cell>
          <cell r="I722">
            <v>19</v>
          </cell>
          <cell r="J722">
            <v>184.28091221052631</v>
          </cell>
          <cell r="K722">
            <v>3501.3373320000001</v>
          </cell>
          <cell r="L722">
            <v>0.45</v>
          </cell>
          <cell r="M722">
            <v>91.22</v>
          </cell>
          <cell r="N722">
            <v>1733.18</v>
          </cell>
          <cell r="O722">
            <v>0.50499485320656334</v>
          </cell>
          <cell r="P722">
            <v>0.5</v>
          </cell>
          <cell r="Q722">
            <v>82.93</v>
          </cell>
        </row>
        <row r="723">
          <cell r="F723" t="str">
            <v>ESPECIALIZAÇÃO EM DIREITO AMBIENTAL</v>
          </cell>
          <cell r="G723" t="str">
            <v>Humanas</v>
          </cell>
          <cell r="H723">
            <v>12</v>
          </cell>
          <cell r="I723">
            <v>19</v>
          </cell>
          <cell r="J723">
            <v>277.58266800000001</v>
          </cell>
          <cell r="K723">
            <v>5274.0706920000002</v>
          </cell>
          <cell r="L723">
            <v>0.45</v>
          </cell>
          <cell r="M723">
            <v>137.4</v>
          </cell>
          <cell r="N723">
            <v>2610.6</v>
          </cell>
          <cell r="O723">
            <v>0.50501232303163834</v>
          </cell>
          <cell r="P723">
            <v>0.5</v>
          </cell>
          <cell r="Q723">
            <v>124.91</v>
          </cell>
        </row>
        <row r="724">
          <cell r="F724" t="str">
            <v>ESPECIALIZAÇÃO EM DIREITO CIVIL</v>
          </cell>
          <cell r="G724" t="str">
            <v>Humanas</v>
          </cell>
          <cell r="H724">
            <v>6</v>
          </cell>
          <cell r="I724">
            <v>13</v>
          </cell>
          <cell r="J724">
            <v>405.70905000000005</v>
          </cell>
          <cell r="K724">
            <v>5274.2176500000005</v>
          </cell>
          <cell r="L724">
            <v>0.45</v>
          </cell>
          <cell r="M724">
            <v>200.83</v>
          </cell>
          <cell r="N724">
            <v>2610.79</v>
          </cell>
          <cell r="O724">
            <v>0.50499009080522117</v>
          </cell>
          <cell r="P724">
            <v>0.5</v>
          </cell>
          <cell r="Q724">
            <v>182.57</v>
          </cell>
        </row>
        <row r="725">
          <cell r="F725" t="str">
            <v>ESPECIALIZAÇÃO EM DIREITO CIVIL E PROCESSO CIVIL</v>
          </cell>
          <cell r="G725" t="str">
            <v>Humanas</v>
          </cell>
          <cell r="H725">
            <v>12</v>
          </cell>
          <cell r="I725">
            <v>19</v>
          </cell>
          <cell r="J725">
            <v>277.58266800000001</v>
          </cell>
          <cell r="K725">
            <v>5274.0706920000002</v>
          </cell>
          <cell r="L725">
            <v>0.45</v>
          </cell>
          <cell r="M725">
            <v>137.4</v>
          </cell>
          <cell r="N725">
            <v>2610.6</v>
          </cell>
          <cell r="O725">
            <v>0.50501232303163834</v>
          </cell>
          <cell r="P725">
            <v>0.5</v>
          </cell>
          <cell r="Q725">
            <v>124.91</v>
          </cell>
        </row>
        <row r="726">
          <cell r="F726" t="str">
            <v>ESPECIALIZAÇÃO EM DIREITO DO CONSUMIDOR</v>
          </cell>
          <cell r="G726" t="str">
            <v>Humanas</v>
          </cell>
          <cell r="H726">
            <v>12</v>
          </cell>
          <cell r="I726">
            <v>19</v>
          </cell>
          <cell r="J726">
            <v>277.58266800000001</v>
          </cell>
          <cell r="K726">
            <v>5274.0706920000002</v>
          </cell>
          <cell r="L726">
            <v>0.45</v>
          </cell>
          <cell r="M726">
            <v>137.4</v>
          </cell>
          <cell r="N726">
            <v>2610.6</v>
          </cell>
          <cell r="O726">
            <v>0.50501232303163834</v>
          </cell>
          <cell r="P726">
            <v>0.5</v>
          </cell>
          <cell r="Q726">
            <v>124.91</v>
          </cell>
        </row>
        <row r="727">
          <cell r="F727" t="str">
            <v>ESPECIALIZAÇÃO EM DIREITO DO TRABALHO</v>
          </cell>
          <cell r="G727" t="str">
            <v>Humanas</v>
          </cell>
          <cell r="H727">
            <v>6</v>
          </cell>
          <cell r="I727">
            <v>13</v>
          </cell>
          <cell r="J727">
            <v>405.70905000000005</v>
          </cell>
          <cell r="K727">
            <v>5274.2176500000005</v>
          </cell>
          <cell r="L727">
            <v>0.45</v>
          </cell>
          <cell r="M727">
            <v>200.83</v>
          </cell>
          <cell r="N727">
            <v>2610.79</v>
          </cell>
          <cell r="O727">
            <v>0.50499009080522117</v>
          </cell>
          <cell r="P727">
            <v>0.5</v>
          </cell>
          <cell r="Q727">
            <v>182.57</v>
          </cell>
        </row>
        <row r="728">
          <cell r="F728" t="str">
            <v>ESPECIALIZAÇÃO EM DIREITO E MEIO AMBIENTE</v>
          </cell>
          <cell r="G728" t="str">
            <v>Humanas</v>
          </cell>
          <cell r="H728">
            <v>6</v>
          </cell>
          <cell r="I728">
            <v>13</v>
          </cell>
          <cell r="J728">
            <v>405.70905000000005</v>
          </cell>
          <cell r="K728">
            <v>5274.2176500000005</v>
          </cell>
          <cell r="L728">
            <v>0.45</v>
          </cell>
          <cell r="M728">
            <v>200.83</v>
          </cell>
          <cell r="N728">
            <v>2610.79</v>
          </cell>
          <cell r="O728">
            <v>0.50499009080522117</v>
          </cell>
          <cell r="P728">
            <v>0.5</v>
          </cell>
          <cell r="Q728">
            <v>182.57</v>
          </cell>
        </row>
        <row r="729">
          <cell r="F729" t="str">
            <v>ESPECIALIZAÇÃO EM DIREITO ELEITORAL</v>
          </cell>
          <cell r="G729" t="str">
            <v>Humanas</v>
          </cell>
          <cell r="H729">
            <v>12</v>
          </cell>
          <cell r="I729">
            <v>19</v>
          </cell>
          <cell r="J729">
            <v>277.58266800000001</v>
          </cell>
          <cell r="K729">
            <v>5274.0706920000002</v>
          </cell>
          <cell r="L729">
            <v>0.45</v>
          </cell>
          <cell r="M729">
            <v>137.4</v>
          </cell>
          <cell r="N729">
            <v>2610.6</v>
          </cell>
          <cell r="O729">
            <v>0.50501232303163834</v>
          </cell>
          <cell r="P729">
            <v>0.5</v>
          </cell>
          <cell r="Q729">
            <v>124.91</v>
          </cell>
        </row>
        <row r="730">
          <cell r="F730" t="str">
            <v>ESPECIALIZAÇÃO EM DIREITO MATERIAL E PROCESSUAL DO TRABALHO</v>
          </cell>
          <cell r="G730" t="str">
            <v>Humanas</v>
          </cell>
          <cell r="H730">
            <v>12</v>
          </cell>
          <cell r="I730">
            <v>19</v>
          </cell>
          <cell r="J730">
            <v>277.58266800000001</v>
          </cell>
          <cell r="K730">
            <v>5274.0706920000002</v>
          </cell>
          <cell r="L730">
            <v>0.45</v>
          </cell>
          <cell r="M730">
            <v>137.4</v>
          </cell>
          <cell r="N730">
            <v>2610.6</v>
          </cell>
          <cell r="O730">
            <v>0.50501232303163834</v>
          </cell>
          <cell r="P730">
            <v>0.5</v>
          </cell>
          <cell r="Q730">
            <v>124.91</v>
          </cell>
        </row>
        <row r="731">
          <cell r="F731" t="str">
            <v>ESPECIALIZAÇÃO EM DIREITO NAS RELAÇÕES DE CONSUMO</v>
          </cell>
          <cell r="G731" t="str">
            <v>Humanas</v>
          </cell>
          <cell r="H731">
            <v>6</v>
          </cell>
          <cell r="I731">
            <v>13</v>
          </cell>
          <cell r="J731">
            <v>405.70905000000005</v>
          </cell>
          <cell r="K731">
            <v>5274.2176500000005</v>
          </cell>
          <cell r="L731">
            <v>0.45</v>
          </cell>
          <cell r="M731">
            <v>200.83</v>
          </cell>
          <cell r="N731">
            <v>2610.79</v>
          </cell>
          <cell r="O731">
            <v>0.50499009080522117</v>
          </cell>
          <cell r="P731">
            <v>0.5</v>
          </cell>
          <cell r="Q731">
            <v>182.57</v>
          </cell>
        </row>
        <row r="732">
          <cell r="F732" t="str">
            <v>ESPECIALIZAÇÃO EM DIREITO PÚBLICO</v>
          </cell>
          <cell r="G732" t="str">
            <v>Humanas</v>
          </cell>
          <cell r="H732">
            <v>12</v>
          </cell>
          <cell r="I732">
            <v>19</v>
          </cell>
          <cell r="J732">
            <v>277.58266800000001</v>
          </cell>
          <cell r="K732">
            <v>5274.0706920000002</v>
          </cell>
          <cell r="L732">
            <v>0.45</v>
          </cell>
          <cell r="M732">
            <v>137.4</v>
          </cell>
          <cell r="N732">
            <v>2610.6</v>
          </cell>
          <cell r="O732">
            <v>0.50501232303163834</v>
          </cell>
          <cell r="P732">
            <v>0.5</v>
          </cell>
          <cell r="Q732">
            <v>124.91</v>
          </cell>
        </row>
        <row r="733">
          <cell r="F733" t="str">
            <v>ESPECIALIZAÇÃO EM DIREITO PÚBLICO E ADMINISTRAÇÃO PÚBLICA</v>
          </cell>
          <cell r="G733" t="str">
            <v>Humanas</v>
          </cell>
          <cell r="H733">
            <v>12</v>
          </cell>
          <cell r="I733">
            <v>19</v>
          </cell>
          <cell r="J733">
            <v>184.28091221052631</v>
          </cell>
          <cell r="K733">
            <v>3501.3373320000001</v>
          </cell>
          <cell r="L733">
            <v>0.45</v>
          </cell>
          <cell r="M733">
            <v>91.22</v>
          </cell>
          <cell r="N733">
            <v>1733.18</v>
          </cell>
          <cell r="O733">
            <v>0.50499485320656334</v>
          </cell>
          <cell r="P733">
            <v>0.5</v>
          </cell>
          <cell r="Q733">
            <v>82.93</v>
          </cell>
        </row>
        <row r="734">
          <cell r="F734" t="str">
            <v>ESPECIALIZAÇÃO EM DIREITO PÚBLICO E ORGANIZAÇÃO PÚBLICA</v>
          </cell>
          <cell r="G734" t="str">
            <v>Humanas</v>
          </cell>
          <cell r="H734">
            <v>6</v>
          </cell>
          <cell r="I734">
            <v>13</v>
          </cell>
          <cell r="J734">
            <v>405.70905000000005</v>
          </cell>
          <cell r="K734">
            <v>5274.2176500000005</v>
          </cell>
          <cell r="L734">
            <v>0.45</v>
          </cell>
          <cell r="M734">
            <v>200.83</v>
          </cell>
          <cell r="N734">
            <v>2610.79</v>
          </cell>
          <cell r="O734">
            <v>0.50499009080522117</v>
          </cell>
          <cell r="P734">
            <v>0.5</v>
          </cell>
          <cell r="Q734">
            <v>182.57</v>
          </cell>
        </row>
        <row r="735">
          <cell r="F735" t="str">
            <v>ESPECIALIZAÇÃO EM DOCÊNCIA DA EDUCAÇÃO SUPERIOR</v>
          </cell>
          <cell r="G735" t="str">
            <v>Humanas</v>
          </cell>
          <cell r="H735">
            <v>6</v>
          </cell>
          <cell r="I735">
            <v>13</v>
          </cell>
          <cell r="J735">
            <v>269.33202599999998</v>
          </cell>
          <cell r="K735">
            <v>3501.3163379999996</v>
          </cell>
          <cell r="L735">
            <v>0.45</v>
          </cell>
          <cell r="M735">
            <v>133.32</v>
          </cell>
          <cell r="N735">
            <v>1733.1599999999999</v>
          </cell>
          <cell r="O735">
            <v>0.50499759727794125</v>
          </cell>
          <cell r="P735">
            <v>0.5</v>
          </cell>
          <cell r="Q735">
            <v>121.2</v>
          </cell>
        </row>
        <row r="736">
          <cell r="F736" t="str">
            <v>ESPECIALIZAÇÃO EM DOCÊNCIA DO ENSINO SUPERIOR</v>
          </cell>
          <cell r="G736" t="str">
            <v>Humanas</v>
          </cell>
          <cell r="H736">
            <v>12</v>
          </cell>
          <cell r="I736">
            <v>19</v>
          </cell>
          <cell r="J736">
            <v>184.28091221052631</v>
          </cell>
          <cell r="K736">
            <v>3501.3373320000001</v>
          </cell>
          <cell r="L736">
            <v>0.45</v>
          </cell>
          <cell r="M736">
            <v>91.22</v>
          </cell>
          <cell r="N736">
            <v>1733.18</v>
          </cell>
          <cell r="O736">
            <v>0.50499485320656334</v>
          </cell>
          <cell r="P736">
            <v>0.5</v>
          </cell>
          <cell r="Q736">
            <v>82.93</v>
          </cell>
        </row>
        <row r="737">
          <cell r="F737" t="str">
            <v>ESPECIALIZAÇÃO EM DOCÊNCIA E GESTÃO DO ENSINO SUPERIOR</v>
          </cell>
          <cell r="G737" t="str">
            <v>Humanas</v>
          </cell>
          <cell r="H737">
            <v>12</v>
          </cell>
          <cell r="I737">
            <v>19</v>
          </cell>
          <cell r="J737">
            <v>184.28091221052631</v>
          </cell>
          <cell r="K737">
            <v>3501.3373320000001</v>
          </cell>
          <cell r="L737">
            <v>0.45</v>
          </cell>
          <cell r="M737">
            <v>91.22</v>
          </cell>
          <cell r="N737">
            <v>1733.18</v>
          </cell>
          <cell r="O737">
            <v>0.50499485320656334</v>
          </cell>
          <cell r="P737">
            <v>0.5</v>
          </cell>
          <cell r="Q737">
            <v>82.93</v>
          </cell>
        </row>
        <row r="738">
          <cell r="F738" t="str">
            <v>ESPECIALIZAÇÃO EM EDUCAÇÃO AMBIENTAL</v>
          </cell>
          <cell r="G738" t="str">
            <v>Humanas</v>
          </cell>
          <cell r="H738">
            <v>12</v>
          </cell>
          <cell r="I738">
            <v>19</v>
          </cell>
          <cell r="J738">
            <v>184.28091221052631</v>
          </cell>
          <cell r="K738">
            <v>3501.3373320000001</v>
          </cell>
          <cell r="L738">
            <v>0.45</v>
          </cell>
          <cell r="M738">
            <v>91.22</v>
          </cell>
          <cell r="N738">
            <v>1733.18</v>
          </cell>
          <cell r="O738">
            <v>0.50499485320656334</v>
          </cell>
          <cell r="P738">
            <v>0.5</v>
          </cell>
          <cell r="Q738">
            <v>82.93</v>
          </cell>
        </row>
        <row r="739">
          <cell r="F739" t="str">
            <v>ESPECIALIZAÇÃO EM EDUCAÇÃO EM MEIO AMBIENTE</v>
          </cell>
          <cell r="G739" t="str">
            <v>Humanas</v>
          </cell>
          <cell r="H739">
            <v>6</v>
          </cell>
          <cell r="I739">
            <v>13</v>
          </cell>
          <cell r="J739">
            <v>269.33202599999998</v>
          </cell>
          <cell r="K739">
            <v>3501.3163379999996</v>
          </cell>
          <cell r="L739">
            <v>0.45</v>
          </cell>
          <cell r="M739">
            <v>133.32</v>
          </cell>
          <cell r="N739">
            <v>1733.1599999999999</v>
          </cell>
          <cell r="O739">
            <v>0.50499759727794125</v>
          </cell>
          <cell r="P739">
            <v>0.5</v>
          </cell>
          <cell r="Q739">
            <v>121.2</v>
          </cell>
        </row>
        <row r="740">
          <cell r="F740" t="str">
            <v>ESPECIALIZAÇÃO EM EDUCAÇÃO ESPECIAL</v>
          </cell>
          <cell r="G740" t="str">
            <v>Humanas</v>
          </cell>
          <cell r="H740">
            <v>12</v>
          </cell>
          <cell r="I740">
            <v>19</v>
          </cell>
          <cell r="J740">
            <v>184.28091221052631</v>
          </cell>
          <cell r="K740">
            <v>3501.3373320000001</v>
          </cell>
          <cell r="L740">
            <v>0.45</v>
          </cell>
          <cell r="M740">
            <v>91.22</v>
          </cell>
          <cell r="N740">
            <v>1733.18</v>
          </cell>
          <cell r="O740">
            <v>0.50499485320656334</v>
          </cell>
          <cell r="P740">
            <v>0.5</v>
          </cell>
          <cell r="Q740">
            <v>82.93</v>
          </cell>
        </row>
        <row r="741">
          <cell r="F741" t="str">
            <v>ESPECIALIZAÇÃO EM EDUCAÇÃO ESPECIAL E INCLUSIVA</v>
          </cell>
          <cell r="G741" t="str">
            <v>Humanas</v>
          </cell>
          <cell r="H741">
            <v>6</v>
          </cell>
          <cell r="I741">
            <v>13</v>
          </cell>
          <cell r="J741">
            <v>269.33202599999998</v>
          </cell>
          <cell r="K741">
            <v>3501.3163379999996</v>
          </cell>
          <cell r="L741">
            <v>0.45</v>
          </cell>
          <cell r="M741">
            <v>133.32</v>
          </cell>
          <cell r="N741">
            <v>1733.1599999999999</v>
          </cell>
          <cell r="O741">
            <v>0.50499759727794125</v>
          </cell>
          <cell r="P741">
            <v>0.5</v>
          </cell>
          <cell r="Q741">
            <v>121.2</v>
          </cell>
        </row>
        <row r="742">
          <cell r="F742" t="str">
            <v>ESPECIALIZAÇÃO EM EDUCAÇÃO FINANCEIRA</v>
          </cell>
          <cell r="G742" t="str">
            <v>Humanas</v>
          </cell>
          <cell r="H742">
            <v>12</v>
          </cell>
          <cell r="I742">
            <v>19</v>
          </cell>
          <cell r="J742">
            <v>184.28091221052631</v>
          </cell>
          <cell r="K742">
            <v>3501.3373320000001</v>
          </cell>
          <cell r="L742">
            <v>0.45</v>
          </cell>
          <cell r="M742">
            <v>91.22</v>
          </cell>
          <cell r="N742">
            <v>1733.18</v>
          </cell>
          <cell r="O742">
            <v>0.50499485320656334</v>
          </cell>
          <cell r="P742">
            <v>0.5</v>
          </cell>
          <cell r="Q742">
            <v>82.93</v>
          </cell>
        </row>
        <row r="743">
          <cell r="F743" t="str">
            <v>ESPECIALIZAÇÃO EM EDUCAÇÃO INFANTIL</v>
          </cell>
          <cell r="G743" t="str">
            <v>Humanas</v>
          </cell>
          <cell r="H743">
            <v>12</v>
          </cell>
          <cell r="I743">
            <v>19</v>
          </cell>
          <cell r="J743">
            <v>184.28091221052631</v>
          </cell>
          <cell r="K743">
            <v>3501.3373320000001</v>
          </cell>
          <cell r="L743">
            <v>0.45</v>
          </cell>
          <cell r="M743">
            <v>91.22</v>
          </cell>
          <cell r="N743">
            <v>1733.18</v>
          </cell>
          <cell r="O743">
            <v>0.50499485320656334</v>
          </cell>
          <cell r="P743">
            <v>0.5</v>
          </cell>
          <cell r="Q743">
            <v>82.93</v>
          </cell>
        </row>
        <row r="744">
          <cell r="F744" t="str">
            <v>ESPECIALIZAÇÃO EM EDUCAÇÃO INFANTIL E ALFABETIZAÇÃO</v>
          </cell>
          <cell r="G744" t="str">
            <v>Humanas</v>
          </cell>
          <cell r="H744">
            <v>6</v>
          </cell>
          <cell r="I744">
            <v>13</v>
          </cell>
          <cell r="J744">
            <v>269.33202599999998</v>
          </cell>
          <cell r="K744">
            <v>3501.3163379999996</v>
          </cell>
          <cell r="L744">
            <v>0.45</v>
          </cell>
          <cell r="M744">
            <v>133.32</v>
          </cell>
          <cell r="N744">
            <v>1733.1599999999999</v>
          </cell>
          <cell r="O744">
            <v>0.50499759727794125</v>
          </cell>
          <cell r="P744">
            <v>0.5</v>
          </cell>
          <cell r="Q744">
            <v>121.2</v>
          </cell>
        </row>
        <row r="745">
          <cell r="F745" t="str">
            <v>ESPECIALIZAÇÃO EM EDUCAÇÃO, JOGOS E LUDICIDADE PARA O ENSINO</v>
          </cell>
          <cell r="G745" t="str">
            <v>Humanas</v>
          </cell>
          <cell r="H745">
            <v>12</v>
          </cell>
          <cell r="I745">
            <v>19</v>
          </cell>
          <cell r="J745">
            <v>184.28091221052631</v>
          </cell>
          <cell r="K745">
            <v>3501.3373320000001</v>
          </cell>
          <cell r="L745">
            <v>0.45</v>
          </cell>
          <cell r="M745">
            <v>91.22</v>
          </cell>
          <cell r="N745">
            <v>1733.18</v>
          </cell>
          <cell r="O745">
            <v>0.50499485320656334</v>
          </cell>
          <cell r="P745">
            <v>0.5</v>
          </cell>
          <cell r="Q745">
            <v>82.93</v>
          </cell>
        </row>
        <row r="746">
          <cell r="F746" t="str">
            <v>ESPECIALIZAÇÃO EM ENFERMAGEM COM FOCO EM ONCOLOGIA</v>
          </cell>
          <cell r="G746" t="str">
            <v>Saúde</v>
          </cell>
          <cell r="H746">
            <v>6</v>
          </cell>
          <cell r="I746">
            <v>13</v>
          </cell>
          <cell r="J746">
            <v>405.70905000000005</v>
          </cell>
          <cell r="K746">
            <v>5274.2176500000005</v>
          </cell>
          <cell r="L746">
            <v>0.45</v>
          </cell>
          <cell r="M746">
            <v>200.83</v>
          </cell>
          <cell r="N746">
            <v>2610.79</v>
          </cell>
          <cell r="O746">
            <v>0.50499009080522117</v>
          </cell>
          <cell r="P746">
            <v>0.5</v>
          </cell>
          <cell r="Q746">
            <v>182.57</v>
          </cell>
        </row>
        <row r="747">
          <cell r="F747" t="str">
            <v>ESPECIALIZAÇÃO EM ENFERMAGEM ONCOLÓGICA</v>
          </cell>
          <cell r="G747" t="str">
            <v>Saúde</v>
          </cell>
          <cell r="H747">
            <v>12</v>
          </cell>
          <cell r="I747">
            <v>19</v>
          </cell>
          <cell r="J747">
            <v>277.58266800000001</v>
          </cell>
          <cell r="K747">
            <v>5274.0706920000002</v>
          </cell>
          <cell r="L747">
            <v>0.45</v>
          </cell>
          <cell r="M747">
            <v>137.4</v>
          </cell>
          <cell r="N747">
            <v>2610.6</v>
          </cell>
          <cell r="O747">
            <v>0.50501232303163834</v>
          </cell>
          <cell r="P747">
            <v>0.5</v>
          </cell>
          <cell r="Q747">
            <v>124.91</v>
          </cell>
        </row>
        <row r="748">
          <cell r="F748" t="str">
            <v>ESPECIALIZAÇÃO EM ENGENHARIA AMBIENTAL E SANEAMENTO BÁSICO</v>
          </cell>
          <cell r="G748" t="str">
            <v>Exatas</v>
          </cell>
          <cell r="H748">
            <v>6</v>
          </cell>
          <cell r="I748">
            <v>13</v>
          </cell>
          <cell r="J748">
            <v>269.33202599999998</v>
          </cell>
          <cell r="K748">
            <v>3501.3163379999996</v>
          </cell>
          <cell r="L748">
            <v>0.45</v>
          </cell>
          <cell r="M748">
            <v>133.32</v>
          </cell>
          <cell r="N748">
            <v>1733.1599999999999</v>
          </cell>
          <cell r="O748">
            <v>0.50499759727794125</v>
          </cell>
          <cell r="P748">
            <v>0.5</v>
          </cell>
          <cell r="Q748">
            <v>121.2</v>
          </cell>
        </row>
        <row r="749">
          <cell r="F749" t="str">
            <v>ESPECIALIZAÇÃO EM ENGENHARIA DE DEVOPS</v>
          </cell>
          <cell r="G749" t="str">
            <v>Exatas</v>
          </cell>
          <cell r="H749">
            <v>12</v>
          </cell>
          <cell r="I749">
            <v>19</v>
          </cell>
          <cell r="J749">
            <v>277.58266800000001</v>
          </cell>
          <cell r="K749">
            <v>5274.0706920000002</v>
          </cell>
          <cell r="L749">
            <v>0.45</v>
          </cell>
          <cell r="M749">
            <v>137.4</v>
          </cell>
          <cell r="N749">
            <v>2610.6</v>
          </cell>
          <cell r="O749">
            <v>0.50501232303163834</v>
          </cell>
          <cell r="P749">
            <v>0.5</v>
          </cell>
          <cell r="Q749">
            <v>124.91</v>
          </cell>
        </row>
        <row r="750">
          <cell r="F750" t="str">
            <v>ESPECIALIZAÇÃO EM ENGENHARIA DE OPERAÇÕES E LOGÍSTICAS</v>
          </cell>
          <cell r="G750" t="str">
            <v>Exatas</v>
          </cell>
          <cell r="H750">
            <v>6</v>
          </cell>
          <cell r="I750">
            <v>13</v>
          </cell>
          <cell r="J750">
            <v>269.33202599999998</v>
          </cell>
          <cell r="K750">
            <v>3501.3163379999996</v>
          </cell>
          <cell r="L750">
            <v>0.45</v>
          </cell>
          <cell r="M750">
            <v>133.32</v>
          </cell>
          <cell r="N750">
            <v>1733.1599999999999</v>
          </cell>
          <cell r="O750">
            <v>0.50499759727794125</v>
          </cell>
          <cell r="P750">
            <v>0.5</v>
          </cell>
          <cell r="Q750">
            <v>121.2</v>
          </cell>
        </row>
        <row r="751">
          <cell r="F751" t="str">
            <v>ESPECIALIZAÇÃO EM ENGENHARIA DE PRODUÇÃO</v>
          </cell>
          <cell r="G751" t="str">
            <v>Exatas</v>
          </cell>
          <cell r="H751">
            <v>12</v>
          </cell>
          <cell r="I751">
            <v>19</v>
          </cell>
          <cell r="J751">
            <v>184.28091221052631</v>
          </cell>
          <cell r="K751">
            <v>3501.3373320000001</v>
          </cell>
          <cell r="L751">
            <v>0.45</v>
          </cell>
          <cell r="M751">
            <v>91.22</v>
          </cell>
          <cell r="N751">
            <v>1733.18</v>
          </cell>
          <cell r="O751">
            <v>0.50499485320656334</v>
          </cell>
          <cell r="P751">
            <v>0.5</v>
          </cell>
          <cell r="Q751">
            <v>82.93</v>
          </cell>
        </row>
        <row r="752">
          <cell r="F752" t="str">
            <v>ESPECIALIZAÇÃO EM ENGENHARIA DE PRODUÇÃO E OPERAÇÕES</v>
          </cell>
          <cell r="G752" t="str">
            <v>Exatas</v>
          </cell>
          <cell r="H752">
            <v>6</v>
          </cell>
          <cell r="I752">
            <v>13</v>
          </cell>
          <cell r="J752">
            <v>269.33202599999998</v>
          </cell>
          <cell r="K752">
            <v>3501.3163379999996</v>
          </cell>
          <cell r="L752">
            <v>0.45</v>
          </cell>
          <cell r="M752">
            <v>133.32</v>
          </cell>
          <cell r="N752">
            <v>1733.1599999999999</v>
          </cell>
          <cell r="O752">
            <v>0.50499759727794125</v>
          </cell>
          <cell r="P752">
            <v>0.5</v>
          </cell>
          <cell r="Q752">
            <v>121.2</v>
          </cell>
        </row>
        <row r="753">
          <cell r="F753" t="str">
            <v>ESPECIALIZAÇÃO EM ENGENHARIA, MEIO AMBIENTE E SANEAMENTO BÁSICO</v>
          </cell>
          <cell r="G753" t="str">
            <v>Exatas</v>
          </cell>
          <cell r="H753">
            <v>12</v>
          </cell>
          <cell r="I753">
            <v>19</v>
          </cell>
          <cell r="J753">
            <v>184.28091221052631</v>
          </cell>
          <cell r="K753">
            <v>3501.3373320000001</v>
          </cell>
          <cell r="L753">
            <v>0.45</v>
          </cell>
          <cell r="M753">
            <v>91.22</v>
          </cell>
          <cell r="N753">
            <v>1733.18</v>
          </cell>
          <cell r="O753">
            <v>0.50499485320656334</v>
          </cell>
          <cell r="P753">
            <v>0.5</v>
          </cell>
          <cell r="Q753">
            <v>82.93</v>
          </cell>
        </row>
        <row r="754">
          <cell r="F754" t="str">
            <v>ESPECIALIZAÇÃO EM EPIDEMIOLOGIA E VIGILÂNCIA EM SAÚDE</v>
          </cell>
          <cell r="G754" t="str">
            <v>Saúde</v>
          </cell>
          <cell r="H754">
            <v>12</v>
          </cell>
          <cell r="I754">
            <v>19</v>
          </cell>
          <cell r="J754">
            <v>277.58266800000001</v>
          </cell>
          <cell r="K754">
            <v>5274.0706920000002</v>
          </cell>
          <cell r="L754">
            <v>0.45</v>
          </cell>
          <cell r="M754">
            <v>137.4</v>
          </cell>
          <cell r="N754">
            <v>2610.6</v>
          </cell>
          <cell r="O754">
            <v>0.50501232303163834</v>
          </cell>
          <cell r="P754">
            <v>0.5</v>
          </cell>
          <cell r="Q754">
            <v>124.91</v>
          </cell>
        </row>
        <row r="755">
          <cell r="F755" t="str">
            <v>ESPECIALIZAÇÃO EM ESTÉTICA E COSMETOLOGIA</v>
          </cell>
          <cell r="G755" t="str">
            <v>Saúde</v>
          </cell>
          <cell r="H755">
            <v>6</v>
          </cell>
          <cell r="I755">
            <v>13</v>
          </cell>
          <cell r="J755">
            <v>405.70905000000005</v>
          </cell>
          <cell r="K755">
            <v>5274.2176500000005</v>
          </cell>
          <cell r="L755">
            <v>0.45</v>
          </cell>
          <cell r="M755">
            <v>200.83</v>
          </cell>
          <cell r="N755">
            <v>2610.79</v>
          </cell>
          <cell r="O755">
            <v>0.50499009080522117</v>
          </cell>
          <cell r="P755">
            <v>0.5</v>
          </cell>
          <cell r="Q755">
            <v>182.57</v>
          </cell>
        </row>
        <row r="756">
          <cell r="F756" t="str">
            <v>ESPECIALIZAÇÃO EM ESTRATÉGIA EM SAÚDE DA FAMÍLIA</v>
          </cell>
          <cell r="G756" t="str">
            <v>Saúde</v>
          </cell>
          <cell r="H756">
            <v>6</v>
          </cell>
          <cell r="I756">
            <v>13</v>
          </cell>
          <cell r="J756">
            <v>405.70905000000005</v>
          </cell>
          <cell r="K756">
            <v>5274.2176500000005</v>
          </cell>
          <cell r="L756">
            <v>0.45</v>
          </cell>
          <cell r="M756">
            <v>200.83</v>
          </cell>
          <cell r="N756">
            <v>2610.79</v>
          </cell>
          <cell r="O756">
            <v>0.50499009080522117</v>
          </cell>
          <cell r="P756">
            <v>0.5</v>
          </cell>
          <cell r="Q756">
            <v>182.57</v>
          </cell>
        </row>
        <row r="757">
          <cell r="F757" t="str">
            <v>ESPECIALIZAÇÃO EM FARMÁCIA HOSPITALAR</v>
          </cell>
          <cell r="G757" t="str">
            <v>Saúde</v>
          </cell>
          <cell r="H757">
            <v>12</v>
          </cell>
          <cell r="I757">
            <v>19</v>
          </cell>
          <cell r="J757">
            <v>277.58266800000001</v>
          </cell>
          <cell r="K757">
            <v>5274.0706920000002</v>
          </cell>
          <cell r="L757">
            <v>0.45</v>
          </cell>
          <cell r="M757">
            <v>137.4</v>
          </cell>
          <cell r="N757">
            <v>2610.6</v>
          </cell>
          <cell r="O757">
            <v>0.50501232303163834</v>
          </cell>
          <cell r="P757">
            <v>0.5</v>
          </cell>
          <cell r="Q757">
            <v>124.91</v>
          </cell>
        </row>
        <row r="758">
          <cell r="F758" t="str">
            <v>ESPECIALIZAÇÃO EM FARMÁCIA ONCOLÓGICA</v>
          </cell>
          <cell r="G758" t="str">
            <v>Saúde</v>
          </cell>
          <cell r="H758">
            <v>12</v>
          </cell>
          <cell r="I758">
            <v>19</v>
          </cell>
          <cell r="J758">
            <v>277.58266800000001</v>
          </cell>
          <cell r="K758">
            <v>5274.0706920000002</v>
          </cell>
          <cell r="L758">
            <v>0.45</v>
          </cell>
          <cell r="M758">
            <v>137.4</v>
          </cell>
          <cell r="N758">
            <v>2610.6</v>
          </cell>
          <cell r="O758">
            <v>0.50501232303163834</v>
          </cell>
          <cell r="P758">
            <v>0.5</v>
          </cell>
          <cell r="Q758">
            <v>124.91</v>
          </cell>
        </row>
        <row r="759">
          <cell r="F759" t="str">
            <v>ESPECIALIZAÇÃO EM FARMACOLOGIA CLÍNICA</v>
          </cell>
          <cell r="G759" t="str">
            <v>Saúde</v>
          </cell>
          <cell r="H759">
            <v>12</v>
          </cell>
          <cell r="I759">
            <v>19</v>
          </cell>
          <cell r="J759">
            <v>277.58266800000001</v>
          </cell>
          <cell r="K759">
            <v>5274.0706920000002</v>
          </cell>
          <cell r="L759">
            <v>0.45</v>
          </cell>
          <cell r="M759">
            <v>137.4</v>
          </cell>
          <cell r="N759">
            <v>2610.6</v>
          </cell>
          <cell r="O759">
            <v>0.50501232303163834</v>
          </cell>
          <cell r="P759">
            <v>0.5</v>
          </cell>
          <cell r="Q759">
            <v>124.91</v>
          </cell>
        </row>
        <row r="760">
          <cell r="F760" t="str">
            <v>ESPECIALIZAÇÃO EM FARMACOLOGIA CLÍNICA APLICADA</v>
          </cell>
          <cell r="G760" t="str">
            <v>Saúde</v>
          </cell>
          <cell r="H760">
            <v>6</v>
          </cell>
          <cell r="I760">
            <v>13</v>
          </cell>
          <cell r="J760">
            <v>405.70905000000005</v>
          </cell>
          <cell r="K760">
            <v>5274.2176500000005</v>
          </cell>
          <cell r="L760">
            <v>0.45</v>
          </cell>
          <cell r="M760">
            <v>200.83</v>
          </cell>
          <cell r="N760">
            <v>2610.79</v>
          </cell>
          <cell r="O760">
            <v>0.50499009080522117</v>
          </cell>
          <cell r="P760">
            <v>0.5</v>
          </cell>
          <cell r="Q760">
            <v>182.57</v>
          </cell>
        </row>
        <row r="761">
          <cell r="F761" t="str">
            <v>ESPECIALIZAÇÃO EM FARMACOLOGIA HOSPITALAR</v>
          </cell>
          <cell r="G761" t="str">
            <v>Saúde</v>
          </cell>
          <cell r="H761">
            <v>6</v>
          </cell>
          <cell r="I761">
            <v>13</v>
          </cell>
          <cell r="J761">
            <v>405.70905000000005</v>
          </cell>
          <cell r="K761">
            <v>5274.2176500000005</v>
          </cell>
          <cell r="L761">
            <v>0.45</v>
          </cell>
          <cell r="M761">
            <v>200.83</v>
          </cell>
          <cell r="N761">
            <v>2610.79</v>
          </cell>
          <cell r="O761">
            <v>0.50499009080522117</v>
          </cell>
          <cell r="P761">
            <v>0.5</v>
          </cell>
          <cell r="Q761">
            <v>182.57</v>
          </cell>
        </row>
        <row r="762">
          <cell r="F762" t="str">
            <v>ESPECIALIZAÇÃO EM FILOSOFIA NA EDUCAÇÃO COM ÊNFASE NO PROCESSO DE FORMAÇÃO ÉTNICO - RACIAL</v>
          </cell>
          <cell r="G762" t="str">
            <v>Humanas</v>
          </cell>
          <cell r="H762">
            <v>12</v>
          </cell>
          <cell r="I762">
            <v>19</v>
          </cell>
          <cell r="J762">
            <v>184.28091221052631</v>
          </cell>
          <cell r="K762">
            <v>3501.3373320000001</v>
          </cell>
          <cell r="L762">
            <v>0.45</v>
          </cell>
          <cell r="M762">
            <v>91.22</v>
          </cell>
          <cell r="N762">
            <v>1733.18</v>
          </cell>
          <cell r="O762">
            <v>0.50499485320656334</v>
          </cell>
          <cell r="P762">
            <v>0.5</v>
          </cell>
          <cell r="Q762">
            <v>82.93</v>
          </cell>
        </row>
        <row r="763">
          <cell r="F763" t="str">
            <v>ESPECIALIZAÇÃO EM FINANÇAS CORPORATIVAS</v>
          </cell>
          <cell r="G763" t="str">
            <v>Humanas</v>
          </cell>
          <cell r="H763">
            <v>12</v>
          </cell>
          <cell r="I763">
            <v>19</v>
          </cell>
          <cell r="J763">
            <v>184.28091221052631</v>
          </cell>
          <cell r="K763">
            <v>3501.3373320000001</v>
          </cell>
          <cell r="L763">
            <v>0.45</v>
          </cell>
          <cell r="M763">
            <v>91.22</v>
          </cell>
          <cell r="N763">
            <v>1733.18</v>
          </cell>
          <cell r="O763">
            <v>0.50499485320656334</v>
          </cell>
          <cell r="P763">
            <v>0.5</v>
          </cell>
          <cell r="Q763">
            <v>82.93</v>
          </cell>
        </row>
        <row r="764">
          <cell r="F764" t="str">
            <v>ESPECIALIZAÇÃO EM FINANÇAS PARA EMPRESAS</v>
          </cell>
          <cell r="G764" t="str">
            <v>Humanas</v>
          </cell>
          <cell r="H764">
            <v>6</v>
          </cell>
          <cell r="I764">
            <v>13</v>
          </cell>
          <cell r="J764">
            <v>269.33202599999998</v>
          </cell>
          <cell r="K764">
            <v>3501.3163379999996</v>
          </cell>
          <cell r="L764">
            <v>0.45</v>
          </cell>
          <cell r="M764">
            <v>133.32</v>
          </cell>
          <cell r="N764">
            <v>1733.1599999999999</v>
          </cell>
          <cell r="O764">
            <v>0.50499759727794125</v>
          </cell>
          <cell r="P764">
            <v>0.5</v>
          </cell>
          <cell r="Q764">
            <v>121.2</v>
          </cell>
        </row>
        <row r="765">
          <cell r="F765" t="str">
            <v>ESPECIALIZAÇÃO EM FISIOTERAPIA EM GERIATRIA E GERONTOLOGIA</v>
          </cell>
          <cell r="G765" t="str">
            <v>Saúde</v>
          </cell>
          <cell r="H765">
            <v>12</v>
          </cell>
          <cell r="I765">
            <v>19</v>
          </cell>
          <cell r="J765">
            <v>277.58266800000001</v>
          </cell>
          <cell r="K765">
            <v>5274.0706920000002</v>
          </cell>
          <cell r="L765">
            <v>0.45</v>
          </cell>
          <cell r="M765">
            <v>137.4</v>
          </cell>
          <cell r="N765">
            <v>2610.6</v>
          </cell>
          <cell r="O765">
            <v>0.50501232303163834</v>
          </cell>
          <cell r="P765">
            <v>0.5</v>
          </cell>
          <cell r="Q765">
            <v>124.91</v>
          </cell>
        </row>
        <row r="766">
          <cell r="F766" t="str">
            <v>ESPECIALIZAÇÃO EM FISIOTERAPIA EM GERONTOLOGIA E GERIATRIA</v>
          </cell>
          <cell r="G766" t="str">
            <v>Saúde</v>
          </cell>
          <cell r="H766">
            <v>6</v>
          </cell>
          <cell r="I766">
            <v>13</v>
          </cell>
          <cell r="J766">
            <v>405.70905000000005</v>
          </cell>
          <cell r="K766">
            <v>5274.2176500000005</v>
          </cell>
          <cell r="L766">
            <v>0.45</v>
          </cell>
          <cell r="M766">
            <v>200.83</v>
          </cell>
          <cell r="N766">
            <v>2610.79</v>
          </cell>
          <cell r="O766">
            <v>0.50499009080522117</v>
          </cell>
          <cell r="P766">
            <v>0.5</v>
          </cell>
          <cell r="Q766">
            <v>182.57</v>
          </cell>
        </row>
        <row r="767">
          <cell r="F767" t="str">
            <v>ESPECIALIZAÇÃO EM FITOTERÁPICOS E SUPLEMENTAÇÃO NUTRICIONAL APLICADA AO ESPORTE</v>
          </cell>
          <cell r="G767" t="str">
            <v>Saúde</v>
          </cell>
          <cell r="H767">
            <v>6</v>
          </cell>
          <cell r="I767">
            <v>13</v>
          </cell>
          <cell r="J767">
            <v>405.70905000000005</v>
          </cell>
          <cell r="K767">
            <v>5274.2176500000005</v>
          </cell>
          <cell r="L767">
            <v>0.45</v>
          </cell>
          <cell r="M767">
            <v>200.83</v>
          </cell>
          <cell r="N767">
            <v>2610.79</v>
          </cell>
          <cell r="O767">
            <v>0.50499009080522117</v>
          </cell>
          <cell r="P767">
            <v>0.5</v>
          </cell>
          <cell r="Q767">
            <v>182.57</v>
          </cell>
        </row>
        <row r="768">
          <cell r="F768" t="str">
            <v>ESPECIALIZAÇÃO EM FUNDAMENTOS DA EDUCAÇÃO SOCIAL E ANTROPOLOGIA</v>
          </cell>
          <cell r="G768" t="str">
            <v>Humanas</v>
          </cell>
          <cell r="H768">
            <v>6</v>
          </cell>
          <cell r="I768">
            <v>13</v>
          </cell>
          <cell r="J768">
            <v>269.33202599999998</v>
          </cell>
          <cell r="K768">
            <v>3501.3163379999996</v>
          </cell>
          <cell r="L768">
            <v>0.45</v>
          </cell>
          <cell r="M768">
            <v>133.32</v>
          </cell>
          <cell r="N768">
            <v>1733.1599999999999</v>
          </cell>
          <cell r="O768">
            <v>0.50499759727794125</v>
          </cell>
          <cell r="P768">
            <v>0.5</v>
          </cell>
          <cell r="Q768">
            <v>121.2</v>
          </cell>
        </row>
        <row r="769">
          <cell r="F769" t="str">
            <v>ESPECIALIZAÇÃO EM GERENCIAMENTO DE PROJETOS DE ARQUITETURA</v>
          </cell>
          <cell r="G769" t="str">
            <v>Humanas</v>
          </cell>
          <cell r="H769">
            <v>6</v>
          </cell>
          <cell r="I769">
            <v>13</v>
          </cell>
          <cell r="J769">
            <v>269.33202599999998</v>
          </cell>
          <cell r="K769">
            <v>3501.3163379999996</v>
          </cell>
          <cell r="L769">
            <v>0.45</v>
          </cell>
          <cell r="M769">
            <v>133.32</v>
          </cell>
          <cell r="N769">
            <v>1733.1599999999999</v>
          </cell>
          <cell r="O769">
            <v>0.50499759727794125</v>
          </cell>
          <cell r="P769">
            <v>0.5</v>
          </cell>
          <cell r="Q769">
            <v>121.2</v>
          </cell>
        </row>
        <row r="770">
          <cell r="F770" t="str">
            <v>ESPECIALIZAÇÃO EM GERENCIAMENTO DE TI</v>
          </cell>
          <cell r="G770" t="str">
            <v>Negócios</v>
          </cell>
          <cell r="H770">
            <v>6</v>
          </cell>
          <cell r="I770">
            <v>13</v>
          </cell>
          <cell r="J770">
            <v>405.70905000000005</v>
          </cell>
          <cell r="K770">
            <v>5274.2176500000005</v>
          </cell>
          <cell r="L770">
            <v>0.45</v>
          </cell>
          <cell r="M770">
            <v>200.83</v>
          </cell>
          <cell r="N770">
            <v>2610.79</v>
          </cell>
          <cell r="O770">
            <v>0.50499009080522117</v>
          </cell>
          <cell r="P770">
            <v>0.5</v>
          </cell>
          <cell r="Q770">
            <v>182.57</v>
          </cell>
        </row>
        <row r="771">
          <cell r="F771" t="str">
            <v>ESPECIALIZAÇÃO EM GESTÃO CONTÁBIL</v>
          </cell>
          <cell r="G771" t="str">
            <v>Exatas</v>
          </cell>
          <cell r="H771">
            <v>12</v>
          </cell>
          <cell r="I771">
            <v>19</v>
          </cell>
          <cell r="J771">
            <v>184.28091221052631</v>
          </cell>
          <cell r="K771">
            <v>3501.3373320000001</v>
          </cell>
          <cell r="L771">
            <v>0.45</v>
          </cell>
          <cell r="M771">
            <v>91.22</v>
          </cell>
          <cell r="N771">
            <v>1733.18</v>
          </cell>
          <cell r="O771">
            <v>0.50499485320656334</v>
          </cell>
          <cell r="P771">
            <v>0.5</v>
          </cell>
          <cell r="Q771">
            <v>82.93</v>
          </cell>
        </row>
        <row r="772">
          <cell r="F772" t="str">
            <v>ESPECIALIZAÇÃO EM GESTÃO DA EDUCAÇÃO</v>
          </cell>
          <cell r="G772" t="str">
            <v>Humanas</v>
          </cell>
          <cell r="H772">
            <v>12</v>
          </cell>
          <cell r="I772">
            <v>19</v>
          </cell>
          <cell r="J772">
            <v>184.28091221052631</v>
          </cell>
          <cell r="K772">
            <v>3501.3373320000001</v>
          </cell>
          <cell r="L772">
            <v>0.45</v>
          </cell>
          <cell r="M772">
            <v>91.22</v>
          </cell>
          <cell r="N772">
            <v>1733.18</v>
          </cell>
          <cell r="O772">
            <v>0.50499485320656334</v>
          </cell>
          <cell r="P772">
            <v>0.5</v>
          </cell>
          <cell r="Q772">
            <v>82.93</v>
          </cell>
        </row>
        <row r="773">
          <cell r="F773" t="str">
            <v>ESPECIALIZAÇÃO EM GESTÃO DA QUALIDADE E AUDITORIA</v>
          </cell>
          <cell r="G773" t="str">
            <v>Humanas</v>
          </cell>
          <cell r="H773">
            <v>6</v>
          </cell>
          <cell r="I773">
            <v>13</v>
          </cell>
          <cell r="J773">
            <v>269.33202599999998</v>
          </cell>
          <cell r="K773">
            <v>3501.3163379999996</v>
          </cell>
          <cell r="L773">
            <v>0.45</v>
          </cell>
          <cell r="M773">
            <v>133.32</v>
          </cell>
          <cell r="N773">
            <v>1733.1599999999999</v>
          </cell>
          <cell r="O773">
            <v>0.50499759727794125</v>
          </cell>
          <cell r="P773">
            <v>0.5</v>
          </cell>
          <cell r="Q773">
            <v>121.2</v>
          </cell>
        </row>
        <row r="774">
          <cell r="F774" t="str">
            <v>ESPECIALIZAÇÃO EM GESTÃO DA QUALIDADE E SEGURANÇA ALIMENTAR</v>
          </cell>
          <cell r="G774" t="str">
            <v>Humanas</v>
          </cell>
          <cell r="H774">
            <v>6</v>
          </cell>
          <cell r="I774">
            <v>13</v>
          </cell>
          <cell r="J774">
            <v>269.33202599999998</v>
          </cell>
          <cell r="K774">
            <v>3501.3163379999996</v>
          </cell>
          <cell r="L774">
            <v>0.45</v>
          </cell>
          <cell r="M774">
            <v>133.32</v>
          </cell>
          <cell r="N774">
            <v>1733.1599999999999</v>
          </cell>
          <cell r="O774">
            <v>0.50499759727794125</v>
          </cell>
          <cell r="P774">
            <v>0.5</v>
          </cell>
          <cell r="Q774">
            <v>121.2</v>
          </cell>
        </row>
        <row r="775">
          <cell r="F775" t="str">
            <v>ESPECIALIZAÇÃO EM GESTÃO DA QUALIDADE E SEGURANÇA DOS ALIMENTOS</v>
          </cell>
          <cell r="G775" t="str">
            <v>Humanas</v>
          </cell>
          <cell r="H775">
            <v>12</v>
          </cell>
          <cell r="I775">
            <v>19</v>
          </cell>
          <cell r="J775">
            <v>184.28091221052631</v>
          </cell>
          <cell r="K775">
            <v>3501.3373320000001</v>
          </cell>
          <cell r="L775">
            <v>0.45</v>
          </cell>
          <cell r="M775">
            <v>91.22</v>
          </cell>
          <cell r="N775">
            <v>1733.18</v>
          </cell>
          <cell r="O775">
            <v>0.50499485320656334</v>
          </cell>
          <cell r="P775">
            <v>0.5</v>
          </cell>
          <cell r="Q775">
            <v>82.93</v>
          </cell>
        </row>
        <row r="776">
          <cell r="F776" t="str">
            <v>ESPECIALIZAÇÃO EM GESTÃO DA QUALIDADE EM PROCESSOS, PRODUTOS E SERVIÇOS</v>
          </cell>
          <cell r="G776" t="str">
            <v>Exatas</v>
          </cell>
          <cell r="H776">
            <v>12</v>
          </cell>
          <cell r="I776">
            <v>19</v>
          </cell>
          <cell r="J776">
            <v>184.28091221052631</v>
          </cell>
          <cell r="K776">
            <v>3501.3373320000001</v>
          </cell>
          <cell r="L776">
            <v>0.45</v>
          </cell>
          <cell r="M776">
            <v>91.22</v>
          </cell>
          <cell r="N776">
            <v>1733.18</v>
          </cell>
          <cell r="O776">
            <v>0.50499485320656334</v>
          </cell>
          <cell r="P776">
            <v>0.5</v>
          </cell>
          <cell r="Q776">
            <v>82.93</v>
          </cell>
        </row>
        <row r="777">
          <cell r="F777" t="str">
            <v>ESPECIALIZAÇÃO EM GESTÃO DA TECNOLOGIA DA INFORMAÇÃO</v>
          </cell>
          <cell r="G777" t="str">
            <v>Exatas</v>
          </cell>
          <cell r="H777">
            <v>12</v>
          </cell>
          <cell r="I777">
            <v>19</v>
          </cell>
          <cell r="J777">
            <v>277.58266800000001</v>
          </cell>
          <cell r="K777">
            <v>5274.0706920000002</v>
          </cell>
          <cell r="L777">
            <v>0.45</v>
          </cell>
          <cell r="M777">
            <v>137.4</v>
          </cell>
          <cell r="N777">
            <v>2610.6</v>
          </cell>
          <cell r="O777">
            <v>0.50501232303163834</v>
          </cell>
          <cell r="P777">
            <v>0.5</v>
          </cell>
          <cell r="Q777">
            <v>124.91</v>
          </cell>
        </row>
        <row r="778">
          <cell r="F778" t="str">
            <v>ESPECIALIZAÇÃO EM GESTÃO DE CONTRATOS PÚBLICOS</v>
          </cell>
          <cell r="G778" t="str">
            <v>Humanas</v>
          </cell>
          <cell r="H778">
            <v>12</v>
          </cell>
          <cell r="I778">
            <v>19</v>
          </cell>
          <cell r="J778">
            <v>184.28091221052631</v>
          </cell>
          <cell r="K778">
            <v>3501.3373320000001</v>
          </cell>
          <cell r="L778">
            <v>0.45</v>
          </cell>
          <cell r="M778">
            <v>91.22</v>
          </cell>
          <cell r="N778">
            <v>1733.18</v>
          </cell>
          <cell r="O778">
            <v>0.50499485320656334</v>
          </cell>
          <cell r="P778">
            <v>0.5</v>
          </cell>
          <cell r="Q778">
            <v>82.93</v>
          </cell>
        </row>
        <row r="779">
          <cell r="F779" t="str">
            <v>ESPECIALIZAÇÃO EM GESTÃO DE DEPARTAMENTO PESSOAL</v>
          </cell>
          <cell r="G779" t="str">
            <v>Exatas</v>
          </cell>
          <cell r="H779">
            <v>6</v>
          </cell>
          <cell r="I779">
            <v>13</v>
          </cell>
          <cell r="J779">
            <v>269.33202599999998</v>
          </cell>
          <cell r="K779">
            <v>3501.3163379999996</v>
          </cell>
          <cell r="L779">
            <v>0.45</v>
          </cell>
          <cell r="M779">
            <v>133.32</v>
          </cell>
          <cell r="N779">
            <v>1733.1599999999999</v>
          </cell>
          <cell r="O779">
            <v>0.50499759727794125</v>
          </cell>
          <cell r="P779">
            <v>0.5</v>
          </cell>
          <cell r="Q779">
            <v>121.2</v>
          </cell>
        </row>
        <row r="780">
          <cell r="F780" t="str">
            <v>ESPECIALIZAÇÃO EM GESTÃO DE PROJETOS COM ÊNFASE NA ARQUITETURA</v>
          </cell>
          <cell r="G780" t="str">
            <v>Humanas</v>
          </cell>
          <cell r="H780">
            <v>12</v>
          </cell>
          <cell r="I780">
            <v>19</v>
          </cell>
          <cell r="J780">
            <v>184.28091221052631</v>
          </cell>
          <cell r="K780">
            <v>3501.3373320000001</v>
          </cell>
          <cell r="L780">
            <v>0.45</v>
          </cell>
          <cell r="M780">
            <v>91.22</v>
          </cell>
          <cell r="N780">
            <v>1733.18</v>
          </cell>
          <cell r="O780">
            <v>0.50499485320656334</v>
          </cell>
          <cell r="P780">
            <v>0.5</v>
          </cell>
          <cell r="Q780">
            <v>82.93</v>
          </cell>
        </row>
        <row r="781">
          <cell r="F781" t="str">
            <v>ESPECIALIZAÇÃO EM GESTÃO E DIREITO APLICADO AOS SERVIÇOS DE SAÚDE PÚBLICA</v>
          </cell>
          <cell r="G781" t="str">
            <v>Humanas</v>
          </cell>
          <cell r="H781">
            <v>12</v>
          </cell>
          <cell r="I781">
            <v>19</v>
          </cell>
          <cell r="J781">
            <v>184.28091221052631</v>
          </cell>
          <cell r="K781">
            <v>3501.3373320000001</v>
          </cell>
          <cell r="L781">
            <v>0.45</v>
          </cell>
          <cell r="M781">
            <v>91.22</v>
          </cell>
          <cell r="N781">
            <v>1733.18</v>
          </cell>
          <cell r="O781">
            <v>0.50499485320656334</v>
          </cell>
          <cell r="P781">
            <v>0.5</v>
          </cell>
          <cell r="Q781">
            <v>82.93</v>
          </cell>
        </row>
        <row r="782">
          <cell r="F782" t="str">
            <v>ESPECIALIZAÇÃO EM GESTÃO E DIREITO DE SERVIÇOS DE SAÚDE PÚBLICA</v>
          </cell>
          <cell r="G782" t="str">
            <v>Humanas</v>
          </cell>
          <cell r="H782">
            <v>6</v>
          </cell>
          <cell r="I782">
            <v>13</v>
          </cell>
          <cell r="J782">
            <v>269.33202599999998</v>
          </cell>
          <cell r="K782">
            <v>3501.3163379999996</v>
          </cell>
          <cell r="L782">
            <v>0.45</v>
          </cell>
          <cell r="M782">
            <v>133.32</v>
          </cell>
          <cell r="N782">
            <v>1733.1599999999999</v>
          </cell>
          <cell r="O782">
            <v>0.50499759727794125</v>
          </cell>
          <cell r="P782">
            <v>0.5</v>
          </cell>
          <cell r="Q782">
            <v>121.2</v>
          </cell>
        </row>
        <row r="783">
          <cell r="F783" t="str">
            <v>ESPECIALIZAÇÃO EM GESTÃO EDUCACIONAL</v>
          </cell>
          <cell r="G783" t="str">
            <v>Humanas</v>
          </cell>
          <cell r="H783">
            <v>6</v>
          </cell>
          <cell r="I783">
            <v>13</v>
          </cell>
          <cell r="J783">
            <v>269.33202599999998</v>
          </cell>
          <cell r="K783">
            <v>3501.3163379999996</v>
          </cell>
          <cell r="L783">
            <v>0.45</v>
          </cell>
          <cell r="M783">
            <v>133.32</v>
          </cell>
          <cell r="N783">
            <v>1733.1599999999999</v>
          </cell>
          <cell r="O783">
            <v>0.50499759727794125</v>
          </cell>
          <cell r="P783">
            <v>0.5</v>
          </cell>
          <cell r="Q783">
            <v>121.2</v>
          </cell>
        </row>
        <row r="784">
          <cell r="F784" t="str">
            <v>ESPECIALIZAÇÃO EM GESTÃO EM ENGENHARIA DE PRODUÇÃO</v>
          </cell>
          <cell r="G784" t="str">
            <v>Exatas</v>
          </cell>
          <cell r="H784">
            <v>6</v>
          </cell>
          <cell r="I784">
            <v>13</v>
          </cell>
          <cell r="J784">
            <v>269.33202599999998</v>
          </cell>
          <cell r="K784">
            <v>3501.3163379999996</v>
          </cell>
          <cell r="L784">
            <v>0.45</v>
          </cell>
          <cell r="M784">
            <v>133.32</v>
          </cell>
          <cell r="N784">
            <v>1733.1599999999999</v>
          </cell>
          <cell r="O784">
            <v>0.50499759727794125</v>
          </cell>
          <cell r="P784">
            <v>0.5</v>
          </cell>
          <cell r="Q784">
            <v>121.2</v>
          </cell>
        </row>
        <row r="785">
          <cell r="F785" t="str">
            <v>ESPECIALIZAÇÃO EM GESTÃO EM PROCESSOS GERENCIAIS</v>
          </cell>
          <cell r="G785" t="str">
            <v>Negócios</v>
          </cell>
          <cell r="H785">
            <v>12</v>
          </cell>
          <cell r="I785">
            <v>19</v>
          </cell>
          <cell r="J785">
            <v>184.28091221052631</v>
          </cell>
          <cell r="K785">
            <v>3501.3373320000001</v>
          </cell>
          <cell r="L785">
            <v>0.45</v>
          </cell>
          <cell r="M785">
            <v>91.22</v>
          </cell>
          <cell r="N785">
            <v>1733.18</v>
          </cell>
          <cell r="O785">
            <v>0.50499485320656334</v>
          </cell>
          <cell r="P785">
            <v>0.5</v>
          </cell>
          <cell r="Q785">
            <v>82.93</v>
          </cell>
        </row>
        <row r="786">
          <cell r="F786" t="str">
            <v>ESPECIALIZAÇÃO EM GESTÃO EM SAÚDE PÚBLICA</v>
          </cell>
          <cell r="G786" t="str">
            <v>Saúde</v>
          </cell>
          <cell r="H786">
            <v>12</v>
          </cell>
          <cell r="I786">
            <v>19</v>
          </cell>
          <cell r="J786">
            <v>277.58266800000001</v>
          </cell>
          <cell r="K786">
            <v>5274.0706920000002</v>
          </cell>
          <cell r="L786">
            <v>0.45</v>
          </cell>
          <cell r="M786">
            <v>137.4</v>
          </cell>
          <cell r="N786">
            <v>2610.6</v>
          </cell>
          <cell r="O786">
            <v>0.50501232303163834</v>
          </cell>
          <cell r="P786">
            <v>0.5</v>
          </cell>
          <cell r="Q786">
            <v>124.91</v>
          </cell>
        </row>
        <row r="787">
          <cell r="F787" t="str">
            <v>ESPECIALIZAÇÃO EM GESTÃO ESCOLAR</v>
          </cell>
          <cell r="G787" t="str">
            <v>Humanas</v>
          </cell>
          <cell r="H787">
            <v>12</v>
          </cell>
          <cell r="I787">
            <v>19</v>
          </cell>
          <cell r="J787">
            <v>184.28091221052631</v>
          </cell>
          <cell r="K787">
            <v>3501.3373320000001</v>
          </cell>
          <cell r="L787">
            <v>0.45</v>
          </cell>
          <cell r="M787">
            <v>91.22</v>
          </cell>
          <cell r="N787">
            <v>1733.18</v>
          </cell>
          <cell r="O787">
            <v>0.50499485320656334</v>
          </cell>
          <cell r="P787">
            <v>0.5</v>
          </cell>
          <cell r="Q787">
            <v>82.93</v>
          </cell>
        </row>
        <row r="788">
          <cell r="F788" t="str">
            <v>ESPECIALIZAÇÃO EM GESTÃO PEDAGÓGICA NO ENSINO SUPERIOR</v>
          </cell>
          <cell r="G788" t="str">
            <v>Humanas</v>
          </cell>
          <cell r="H788">
            <v>6</v>
          </cell>
          <cell r="I788">
            <v>13</v>
          </cell>
          <cell r="J788">
            <v>269.33202599999998</v>
          </cell>
          <cell r="K788">
            <v>3501.3163379999996</v>
          </cell>
          <cell r="L788">
            <v>0.45</v>
          </cell>
          <cell r="M788">
            <v>133.32</v>
          </cell>
          <cell r="N788">
            <v>1733.1599999999999</v>
          </cell>
          <cell r="O788">
            <v>0.50499759727794125</v>
          </cell>
          <cell r="P788">
            <v>0.5</v>
          </cell>
          <cell r="Q788">
            <v>121.2</v>
          </cell>
        </row>
        <row r="789">
          <cell r="F789" t="str">
            <v>ESPECIALIZAÇÃO EM INFLUENCIADOR DIGITAL</v>
          </cell>
          <cell r="G789" t="str">
            <v>Humanas</v>
          </cell>
          <cell r="H789">
            <v>6</v>
          </cell>
          <cell r="I789">
            <v>13</v>
          </cell>
          <cell r="J789">
            <v>269.33202599999998</v>
          </cell>
          <cell r="K789">
            <v>3501.3163379999996</v>
          </cell>
          <cell r="L789">
            <v>0.45</v>
          </cell>
          <cell r="M789">
            <v>133.32</v>
          </cell>
          <cell r="N789">
            <v>1733.1599999999999</v>
          </cell>
          <cell r="O789">
            <v>0.50499759727794125</v>
          </cell>
          <cell r="P789">
            <v>0.5</v>
          </cell>
          <cell r="Q789">
            <v>121.2</v>
          </cell>
        </row>
        <row r="790">
          <cell r="F790" t="str">
            <v>ESPECIALIZAÇÃO EM INOVAÇÃO DE MÍDIAS DIGITAIS</v>
          </cell>
          <cell r="G790" t="str">
            <v>Humanas</v>
          </cell>
          <cell r="H790">
            <v>6</v>
          </cell>
          <cell r="I790">
            <v>13</v>
          </cell>
          <cell r="J790">
            <v>269.33202599999998</v>
          </cell>
          <cell r="K790">
            <v>3501.3163379999996</v>
          </cell>
          <cell r="L790">
            <v>0.45</v>
          </cell>
          <cell r="M790">
            <v>133.32</v>
          </cell>
          <cell r="N790">
            <v>1733.1599999999999</v>
          </cell>
          <cell r="O790">
            <v>0.50499759727794125</v>
          </cell>
          <cell r="P790">
            <v>0.5</v>
          </cell>
          <cell r="Q790">
            <v>121.2</v>
          </cell>
        </row>
        <row r="791">
          <cell r="F791" t="str">
            <v>ESPECIALIZAÇÃO EM INOVAÇÃO E TRANSFORMAÇÃO DIGITAL</v>
          </cell>
          <cell r="G791" t="str">
            <v>Exatas</v>
          </cell>
          <cell r="H791">
            <v>12</v>
          </cell>
          <cell r="I791">
            <v>19</v>
          </cell>
          <cell r="J791">
            <v>184.28091221052631</v>
          </cell>
          <cell r="K791">
            <v>3501.3373320000001</v>
          </cell>
          <cell r="L791">
            <v>0.45</v>
          </cell>
          <cell r="M791">
            <v>91.22</v>
          </cell>
          <cell r="N791">
            <v>1733.18</v>
          </cell>
          <cell r="O791">
            <v>0.50499485320656334</v>
          </cell>
          <cell r="P791">
            <v>0.5</v>
          </cell>
          <cell r="Q791">
            <v>82.93</v>
          </cell>
        </row>
        <row r="792">
          <cell r="F792" t="str">
            <v>ESPECIALIZAÇÃO EM INTELIGÊNCIA ARTIFICIAL APLICADA AO NEGÓCIO</v>
          </cell>
          <cell r="G792" t="str">
            <v>Exatas</v>
          </cell>
          <cell r="H792">
            <v>6</v>
          </cell>
          <cell r="I792">
            <v>13</v>
          </cell>
          <cell r="J792">
            <v>405.70905000000005</v>
          </cell>
          <cell r="K792">
            <v>5274.2176500000005</v>
          </cell>
          <cell r="L792">
            <v>0.45</v>
          </cell>
          <cell r="M792">
            <v>200.83</v>
          </cell>
          <cell r="N792">
            <v>2610.79</v>
          </cell>
          <cell r="O792">
            <v>0.50499009080522117</v>
          </cell>
          <cell r="P792">
            <v>0.5</v>
          </cell>
          <cell r="Q792">
            <v>182.57</v>
          </cell>
        </row>
        <row r="793">
          <cell r="F793" t="str">
            <v>ESPECIALIZAÇÃO EM INTELIGÊNCIA E SEGURANÇA PÚBLICA</v>
          </cell>
          <cell r="G793" t="str">
            <v>Humanas</v>
          </cell>
          <cell r="H793">
            <v>6</v>
          </cell>
          <cell r="I793">
            <v>13</v>
          </cell>
          <cell r="J793">
            <v>269.33202599999998</v>
          </cell>
          <cell r="K793">
            <v>3501.3163379999996</v>
          </cell>
          <cell r="L793">
            <v>0.45</v>
          </cell>
          <cell r="M793">
            <v>133.32</v>
          </cell>
          <cell r="N793">
            <v>1733.1599999999999</v>
          </cell>
          <cell r="O793">
            <v>0.50499759727794125</v>
          </cell>
          <cell r="P793">
            <v>0.5</v>
          </cell>
          <cell r="Q793">
            <v>121.2</v>
          </cell>
        </row>
        <row r="794">
          <cell r="F794" t="str">
            <v>ESPECIALIZAÇÃO EM INTERNET DAS COISAS (IOT): CONEXÃO ENTRE DISPOSITIVOS, MÁQUINAS E PESSOAS</v>
          </cell>
          <cell r="G794" t="str">
            <v>Exatas</v>
          </cell>
          <cell r="H794">
            <v>6</v>
          </cell>
          <cell r="I794">
            <v>13</v>
          </cell>
          <cell r="J794">
            <v>405.70905000000005</v>
          </cell>
          <cell r="K794">
            <v>5274.2176500000005</v>
          </cell>
          <cell r="L794">
            <v>0.45</v>
          </cell>
          <cell r="M794">
            <v>200.83</v>
          </cell>
          <cell r="N794">
            <v>2610.79</v>
          </cell>
          <cell r="O794">
            <v>0.50499009080522117</v>
          </cell>
          <cell r="P794">
            <v>0.5</v>
          </cell>
          <cell r="Q794">
            <v>182.57</v>
          </cell>
        </row>
        <row r="795">
          <cell r="F795" t="str">
            <v>ESPECIALIZAÇÃO EM IoT: INTERAÇÃO ENTRE DISPOSITIVOS, MÁQUINAS E PESSOAS</v>
          </cell>
          <cell r="G795" t="str">
            <v>Negócios</v>
          </cell>
          <cell r="H795">
            <v>12</v>
          </cell>
          <cell r="I795">
            <v>19</v>
          </cell>
          <cell r="J795">
            <v>277.58266800000001</v>
          </cell>
          <cell r="K795">
            <v>5274.0706920000002</v>
          </cell>
          <cell r="L795">
            <v>0.45</v>
          </cell>
          <cell r="M795">
            <v>137.4</v>
          </cell>
          <cell r="N795">
            <v>2610.6</v>
          </cell>
          <cell r="O795">
            <v>0.50501232303163834</v>
          </cell>
          <cell r="P795">
            <v>0.5</v>
          </cell>
          <cell r="Q795">
            <v>124.91</v>
          </cell>
        </row>
        <row r="796">
          <cell r="F796" t="str">
            <v>ESPECIALIZAÇÃO EM LEGISLAÇÃO ELEITORAL</v>
          </cell>
          <cell r="G796" t="str">
            <v>Humanas</v>
          </cell>
          <cell r="H796">
            <v>6</v>
          </cell>
          <cell r="I796">
            <v>13</v>
          </cell>
          <cell r="J796">
            <v>405.70905000000005</v>
          </cell>
          <cell r="K796">
            <v>5274.2176500000005</v>
          </cell>
          <cell r="L796">
            <v>0.45</v>
          </cell>
          <cell r="M796">
            <v>200.83</v>
          </cell>
          <cell r="N796">
            <v>2610.79</v>
          </cell>
          <cell r="O796">
            <v>0.50499009080522117</v>
          </cell>
          <cell r="P796">
            <v>0.5</v>
          </cell>
          <cell r="Q796">
            <v>182.57</v>
          </cell>
        </row>
        <row r="797">
          <cell r="F797" t="str">
            <v>ESPECIALIZAÇÃO EM LÍNGUA PORTUGUESA - REDAÇÃO</v>
          </cell>
          <cell r="G797" t="str">
            <v>Humanas</v>
          </cell>
          <cell r="H797">
            <v>6</v>
          </cell>
          <cell r="I797">
            <v>13</v>
          </cell>
          <cell r="J797">
            <v>269.33202599999998</v>
          </cell>
          <cell r="K797">
            <v>3501.3163379999996</v>
          </cell>
          <cell r="L797">
            <v>0.45</v>
          </cell>
          <cell r="M797">
            <v>133.32</v>
          </cell>
          <cell r="N797">
            <v>1733.1599999999999</v>
          </cell>
          <cell r="O797">
            <v>0.50499759727794125</v>
          </cell>
          <cell r="P797">
            <v>0.5</v>
          </cell>
          <cell r="Q797">
            <v>121.2</v>
          </cell>
        </row>
        <row r="798">
          <cell r="F798" t="str">
            <v>ESPECIALIZAÇÃO EM LÍNGUA PORTUGUESA: REDAÇÃO E ORATÓRIA</v>
          </cell>
          <cell r="G798" t="str">
            <v>Humanas</v>
          </cell>
          <cell r="H798">
            <v>12</v>
          </cell>
          <cell r="I798">
            <v>19</v>
          </cell>
          <cell r="J798">
            <v>184.28091221052631</v>
          </cell>
          <cell r="K798">
            <v>3501.3373320000001</v>
          </cell>
          <cell r="L798">
            <v>0.45</v>
          </cell>
          <cell r="M798">
            <v>91.22</v>
          </cell>
          <cell r="N798">
            <v>1733.18</v>
          </cell>
          <cell r="O798">
            <v>0.50499485320656334</v>
          </cell>
          <cell r="P798">
            <v>0.5</v>
          </cell>
          <cell r="Q798">
            <v>82.93</v>
          </cell>
        </row>
        <row r="799">
          <cell r="F799" t="str">
            <v>ESPECIALIZAÇÃO EM LUDICIDADE APLICADA EM EDUCAÇÃO</v>
          </cell>
          <cell r="G799" t="str">
            <v>Humanas</v>
          </cell>
          <cell r="H799">
            <v>6</v>
          </cell>
          <cell r="I799">
            <v>13</v>
          </cell>
          <cell r="J799">
            <v>269.33202599999998</v>
          </cell>
          <cell r="K799">
            <v>3501.3163379999996</v>
          </cell>
          <cell r="L799">
            <v>0.45</v>
          </cell>
          <cell r="M799">
            <v>133.32</v>
          </cell>
          <cell r="N799">
            <v>1733.1599999999999</v>
          </cell>
          <cell r="O799">
            <v>0.50499759727794125</v>
          </cell>
          <cell r="P799">
            <v>0.5</v>
          </cell>
          <cell r="Q799">
            <v>121.2</v>
          </cell>
        </row>
        <row r="800">
          <cell r="F800" t="str">
            <v>ESPECIALIZAÇÃO EM MARKETING</v>
          </cell>
          <cell r="G800" t="str">
            <v>Humanas</v>
          </cell>
          <cell r="H800">
            <v>6</v>
          </cell>
          <cell r="I800">
            <v>13</v>
          </cell>
          <cell r="J800">
            <v>269.33202599999998</v>
          </cell>
          <cell r="K800">
            <v>3501.3163379999996</v>
          </cell>
          <cell r="L800">
            <v>0.45</v>
          </cell>
          <cell r="M800">
            <v>133.32</v>
          </cell>
          <cell r="N800">
            <v>1733.1599999999999</v>
          </cell>
          <cell r="O800">
            <v>0.50499759727794125</v>
          </cell>
          <cell r="P800">
            <v>0.5</v>
          </cell>
          <cell r="Q800">
            <v>121.2</v>
          </cell>
        </row>
        <row r="801">
          <cell r="F801" t="str">
            <v>ESPECIALIZAÇÃO EM MARKETING DIGITAL E MÍDIAS SOCIAIS</v>
          </cell>
          <cell r="G801" t="str">
            <v>Humanas</v>
          </cell>
          <cell r="H801">
            <v>6</v>
          </cell>
          <cell r="I801">
            <v>13</v>
          </cell>
          <cell r="J801">
            <v>269.33202599999998</v>
          </cell>
          <cell r="K801">
            <v>3501.3163379999996</v>
          </cell>
          <cell r="L801">
            <v>0.45</v>
          </cell>
          <cell r="M801">
            <v>133.32</v>
          </cell>
          <cell r="N801">
            <v>1733.1599999999999</v>
          </cell>
          <cell r="O801">
            <v>0.50499759727794125</v>
          </cell>
          <cell r="P801">
            <v>0.5</v>
          </cell>
          <cell r="Q801">
            <v>121.2</v>
          </cell>
        </row>
        <row r="802">
          <cell r="F802" t="str">
            <v>ESPECIALIZAÇÃO EM MARKETING E MÍDIAS SOCIAIS</v>
          </cell>
          <cell r="G802" t="str">
            <v>Humanas</v>
          </cell>
          <cell r="H802">
            <v>12</v>
          </cell>
          <cell r="I802">
            <v>19</v>
          </cell>
          <cell r="J802">
            <v>184.28091221052631</v>
          </cell>
          <cell r="K802">
            <v>3501.3373320000001</v>
          </cell>
          <cell r="L802">
            <v>0.45</v>
          </cell>
          <cell r="M802">
            <v>91.22</v>
          </cell>
          <cell r="N802">
            <v>1733.18</v>
          </cell>
          <cell r="O802">
            <v>0.50499485320656334</v>
          </cell>
          <cell r="P802">
            <v>0.5</v>
          </cell>
          <cell r="Q802">
            <v>82.93</v>
          </cell>
        </row>
        <row r="803">
          <cell r="F803" t="str">
            <v>ESPECIALIZAÇÃO EM MARKETING E PUBLICIDADE</v>
          </cell>
          <cell r="G803" t="str">
            <v>Humanas</v>
          </cell>
          <cell r="H803">
            <v>12</v>
          </cell>
          <cell r="I803">
            <v>19</v>
          </cell>
          <cell r="J803">
            <v>184.28091221052631</v>
          </cell>
          <cell r="K803">
            <v>3501.3373320000001</v>
          </cell>
          <cell r="L803">
            <v>0.45</v>
          </cell>
          <cell r="M803">
            <v>91.22</v>
          </cell>
          <cell r="N803">
            <v>1733.18</v>
          </cell>
          <cell r="O803">
            <v>0.50499485320656334</v>
          </cell>
          <cell r="P803">
            <v>0.5</v>
          </cell>
          <cell r="Q803">
            <v>82.93</v>
          </cell>
        </row>
        <row r="804">
          <cell r="F804" t="str">
            <v>ESPECIALIZAÇÃO EM MEDIAÇÃO E GESTÃO DE CONFLITOS ESCOLAR</v>
          </cell>
          <cell r="G804" t="str">
            <v>Humanas</v>
          </cell>
          <cell r="H804">
            <v>12</v>
          </cell>
          <cell r="I804">
            <v>19</v>
          </cell>
          <cell r="J804">
            <v>184.28091221052631</v>
          </cell>
          <cell r="K804">
            <v>3501.3373320000001</v>
          </cell>
          <cell r="L804">
            <v>0.45</v>
          </cell>
          <cell r="M804">
            <v>91.22</v>
          </cell>
          <cell r="N804">
            <v>1733.18</v>
          </cell>
          <cell r="O804">
            <v>0.50499485320656334</v>
          </cell>
          <cell r="P804">
            <v>0.5</v>
          </cell>
          <cell r="Q804">
            <v>82.93</v>
          </cell>
        </row>
        <row r="805">
          <cell r="F805" t="str">
            <v>ESPECIALIZAÇÃO EM MENTORIA EM EDUCAÇÃO FINANCEIRA</v>
          </cell>
          <cell r="G805" t="str">
            <v>Humanas</v>
          </cell>
          <cell r="H805">
            <v>6</v>
          </cell>
          <cell r="I805">
            <v>13</v>
          </cell>
          <cell r="J805">
            <v>269.33202599999998</v>
          </cell>
          <cell r="K805">
            <v>3501.3163379999996</v>
          </cell>
          <cell r="L805">
            <v>0.45</v>
          </cell>
          <cell r="M805">
            <v>133.32</v>
          </cell>
          <cell r="N805">
            <v>1733.1599999999999</v>
          </cell>
          <cell r="O805">
            <v>0.50499759727794125</v>
          </cell>
          <cell r="P805">
            <v>0.5</v>
          </cell>
          <cell r="Q805">
            <v>121.2</v>
          </cell>
        </row>
        <row r="806">
          <cell r="F806" t="str">
            <v>ESPECIALIZAÇÃO EM METODOLOGIA DO ENS. A DISTÂNCIA</v>
          </cell>
          <cell r="G806" t="str">
            <v>Humanas</v>
          </cell>
          <cell r="H806">
            <v>12</v>
          </cell>
          <cell r="I806">
            <v>19</v>
          </cell>
          <cell r="J806">
            <v>184.28091221052631</v>
          </cell>
          <cell r="K806">
            <v>3501.3373320000001</v>
          </cell>
          <cell r="L806">
            <v>0.45</v>
          </cell>
          <cell r="M806">
            <v>91.22</v>
          </cell>
          <cell r="N806">
            <v>1733.18</v>
          </cell>
          <cell r="O806">
            <v>0.50499485320656334</v>
          </cell>
          <cell r="P806">
            <v>0.5</v>
          </cell>
          <cell r="Q806">
            <v>82.93</v>
          </cell>
        </row>
        <row r="807">
          <cell r="F807" t="str">
            <v>ESPECIALIZAÇÃO EM METODOLOGIA DO ENSINO DA LÍNGUA PORTUGUESA</v>
          </cell>
          <cell r="G807" t="str">
            <v>Humanas</v>
          </cell>
          <cell r="H807">
            <v>6</v>
          </cell>
          <cell r="I807">
            <v>13</v>
          </cell>
          <cell r="J807">
            <v>269.33202599999998</v>
          </cell>
          <cell r="K807">
            <v>3501.3163379999996</v>
          </cell>
          <cell r="L807">
            <v>0.45</v>
          </cell>
          <cell r="M807">
            <v>133.32</v>
          </cell>
          <cell r="N807">
            <v>1733.1599999999999</v>
          </cell>
          <cell r="O807">
            <v>0.50499759727794125</v>
          </cell>
          <cell r="P807">
            <v>0.5</v>
          </cell>
          <cell r="Q807">
            <v>121.2</v>
          </cell>
        </row>
        <row r="808">
          <cell r="F808" t="str">
            <v>ESPECIALIZAÇÃO EM METODOLOGIA E DIDÁTICA DO ENSINO DA GEOGRAFIA</v>
          </cell>
          <cell r="G808" t="str">
            <v>Humanas</v>
          </cell>
          <cell r="H808">
            <v>6</v>
          </cell>
          <cell r="I808">
            <v>13</v>
          </cell>
          <cell r="J808">
            <v>269.33202599999998</v>
          </cell>
          <cell r="K808">
            <v>3501.3163379999996</v>
          </cell>
          <cell r="L808">
            <v>0.45</v>
          </cell>
          <cell r="M808">
            <v>133.32</v>
          </cell>
          <cell r="N808">
            <v>1733.1599999999999</v>
          </cell>
          <cell r="O808">
            <v>0.50499759727794125</v>
          </cell>
          <cell r="P808">
            <v>0.5</v>
          </cell>
          <cell r="Q808">
            <v>121.2</v>
          </cell>
        </row>
        <row r="809">
          <cell r="F809" t="str">
            <v>ESPECIALIZAÇÃO EM METODOLOGIAS ATIVAS</v>
          </cell>
          <cell r="G809" t="str">
            <v>Humanas</v>
          </cell>
          <cell r="H809">
            <v>12</v>
          </cell>
          <cell r="I809">
            <v>19</v>
          </cell>
          <cell r="J809">
            <v>184.28091221052631</v>
          </cell>
          <cell r="K809">
            <v>3501.3373320000001</v>
          </cell>
          <cell r="L809">
            <v>0.45</v>
          </cell>
          <cell r="M809">
            <v>91.22</v>
          </cell>
          <cell r="N809">
            <v>1733.18</v>
          </cell>
          <cell r="O809">
            <v>0.50499485320656334</v>
          </cell>
          <cell r="P809">
            <v>0.5</v>
          </cell>
          <cell r="Q809">
            <v>82.93</v>
          </cell>
        </row>
        <row r="810">
          <cell r="F810" t="str">
            <v>ESPECIALIZAÇÃO EM METODOLOGIAS ATIVAS COMO PRÁTICAS INOVADORAS NA EDUCAÇÃO</v>
          </cell>
          <cell r="G810" t="str">
            <v>Humanas</v>
          </cell>
          <cell r="H810">
            <v>6</v>
          </cell>
          <cell r="I810">
            <v>13</v>
          </cell>
          <cell r="J810">
            <v>269.33202599999998</v>
          </cell>
          <cell r="K810">
            <v>3501.3163379999996</v>
          </cell>
          <cell r="L810">
            <v>0.45</v>
          </cell>
          <cell r="M810">
            <v>133.32</v>
          </cell>
          <cell r="N810">
            <v>1733.1599999999999</v>
          </cell>
          <cell r="O810">
            <v>0.50499759727794125</v>
          </cell>
          <cell r="P810">
            <v>0.5</v>
          </cell>
          <cell r="Q810">
            <v>121.2</v>
          </cell>
        </row>
        <row r="811">
          <cell r="F811" t="str">
            <v>ESPECIALIZAÇÃO EM METODOLOGIAS DA EDUCAÇÃO A DISTÂNCIA</v>
          </cell>
          <cell r="G811" t="str">
            <v>Humanas</v>
          </cell>
          <cell r="H811">
            <v>6</v>
          </cell>
          <cell r="I811">
            <v>13</v>
          </cell>
          <cell r="J811">
            <v>269.33202599999998</v>
          </cell>
          <cell r="K811">
            <v>3501.3163379999996</v>
          </cell>
          <cell r="L811">
            <v>0.45</v>
          </cell>
          <cell r="M811">
            <v>133.32</v>
          </cell>
          <cell r="N811">
            <v>1733.1599999999999</v>
          </cell>
          <cell r="O811">
            <v>0.50499759727794125</v>
          </cell>
          <cell r="P811">
            <v>0.5</v>
          </cell>
          <cell r="Q811">
            <v>121.2</v>
          </cell>
        </row>
        <row r="812">
          <cell r="F812" t="str">
            <v>ESPECIALIZAÇÃO EM MICROBIOLOGIA E PARASITOLOGIA CLÍNICA</v>
          </cell>
          <cell r="G812" t="str">
            <v>Saúde</v>
          </cell>
          <cell r="H812">
            <v>6</v>
          </cell>
          <cell r="I812">
            <v>13</v>
          </cell>
          <cell r="J812">
            <v>405.70905000000005</v>
          </cell>
          <cell r="K812">
            <v>5274.2176500000005</v>
          </cell>
          <cell r="L812">
            <v>0.45</v>
          </cell>
          <cell r="M812">
            <v>200.83</v>
          </cell>
          <cell r="N812">
            <v>2610.79</v>
          </cell>
          <cell r="O812">
            <v>0.50499009080522117</v>
          </cell>
          <cell r="P812">
            <v>0.5</v>
          </cell>
          <cell r="Q812">
            <v>182.57</v>
          </cell>
        </row>
        <row r="813">
          <cell r="F813" t="str">
            <v>ESPECIALIZAÇÃO EM MICROBIOLOGIA, PARASITOLOGIA E MICOLOGIA CLÍNICA</v>
          </cell>
          <cell r="G813" t="str">
            <v>Saúde</v>
          </cell>
          <cell r="H813">
            <v>12</v>
          </cell>
          <cell r="I813">
            <v>19</v>
          </cell>
          <cell r="J813">
            <v>277.58266800000001</v>
          </cell>
          <cell r="K813">
            <v>5274.0706920000002</v>
          </cell>
          <cell r="L813">
            <v>0.45</v>
          </cell>
          <cell r="M813">
            <v>137.4</v>
          </cell>
          <cell r="N813">
            <v>2610.6</v>
          </cell>
          <cell r="O813">
            <v>0.50501232303163834</v>
          </cell>
          <cell r="P813">
            <v>0.5</v>
          </cell>
          <cell r="Q813">
            <v>124.91</v>
          </cell>
        </row>
        <row r="814">
          <cell r="F814" t="str">
            <v>ESPECIALIZAÇÃO EM NEUROEDUCAÇÃO</v>
          </cell>
          <cell r="G814" t="str">
            <v>Humanas</v>
          </cell>
          <cell r="H814">
            <v>12</v>
          </cell>
          <cell r="I814">
            <v>19</v>
          </cell>
          <cell r="J814">
            <v>184.28091221052631</v>
          </cell>
          <cell r="K814">
            <v>3501.3373320000001</v>
          </cell>
          <cell r="L814">
            <v>0.45</v>
          </cell>
          <cell r="M814">
            <v>91.22</v>
          </cell>
          <cell r="N814">
            <v>1733.18</v>
          </cell>
          <cell r="O814">
            <v>0.50499485320656334</v>
          </cell>
          <cell r="P814">
            <v>0.5</v>
          </cell>
          <cell r="Q814">
            <v>82.93</v>
          </cell>
        </row>
        <row r="815">
          <cell r="F815" t="str">
            <v>ESPECIALIZAÇÃO EM NOVAS MÍDIAS</v>
          </cell>
          <cell r="G815" t="str">
            <v>Exatas</v>
          </cell>
          <cell r="H815">
            <v>12</v>
          </cell>
          <cell r="I815">
            <v>19</v>
          </cell>
          <cell r="J815">
            <v>184.28091221052631</v>
          </cell>
          <cell r="K815">
            <v>3501.3373320000001</v>
          </cell>
          <cell r="L815">
            <v>0.45</v>
          </cell>
          <cell r="M815">
            <v>91.22</v>
          </cell>
          <cell r="N815">
            <v>1733.18</v>
          </cell>
          <cell r="O815">
            <v>0.50499485320656334</v>
          </cell>
          <cell r="P815">
            <v>0.5</v>
          </cell>
          <cell r="Q815">
            <v>82.93</v>
          </cell>
        </row>
        <row r="816">
          <cell r="F816" t="str">
            <v>ESPECIALIZAÇÃO EM NUTRIÇÃO CLÍNICA</v>
          </cell>
          <cell r="G816" t="str">
            <v>Saúde</v>
          </cell>
          <cell r="H816">
            <v>12</v>
          </cell>
          <cell r="I816">
            <v>19</v>
          </cell>
          <cell r="J816">
            <v>277.58266800000001</v>
          </cell>
          <cell r="K816">
            <v>5274.0706920000002</v>
          </cell>
          <cell r="L816">
            <v>0.45</v>
          </cell>
          <cell r="M816">
            <v>137.4</v>
          </cell>
          <cell r="N816">
            <v>2610.6</v>
          </cell>
          <cell r="O816">
            <v>0.50501232303163834</v>
          </cell>
          <cell r="P816">
            <v>0.5</v>
          </cell>
          <cell r="Q816">
            <v>124.91</v>
          </cell>
        </row>
        <row r="817">
          <cell r="F817" t="str">
            <v>ESPECIALIZAÇÃO EM NUTRIÇÃO E DIETOTERAPIA</v>
          </cell>
          <cell r="G817" t="str">
            <v>Saúde</v>
          </cell>
          <cell r="H817">
            <v>6</v>
          </cell>
          <cell r="I817">
            <v>13</v>
          </cell>
          <cell r="J817">
            <v>405.70905000000005</v>
          </cell>
          <cell r="K817">
            <v>5274.2176500000005</v>
          </cell>
          <cell r="L817">
            <v>0.45</v>
          </cell>
          <cell r="M817">
            <v>200.83</v>
          </cell>
          <cell r="N817">
            <v>2610.79</v>
          </cell>
          <cell r="O817">
            <v>0.50499009080522117</v>
          </cell>
          <cell r="P817">
            <v>0.5</v>
          </cell>
          <cell r="Q817">
            <v>182.57</v>
          </cell>
        </row>
        <row r="818">
          <cell r="F818" t="str">
            <v>ESPECIALIZAÇÃO EM NUTRIÇÃO E ESPORTES</v>
          </cell>
          <cell r="G818" t="str">
            <v>Saúde</v>
          </cell>
          <cell r="H818">
            <v>6</v>
          </cell>
          <cell r="I818">
            <v>13</v>
          </cell>
          <cell r="J818">
            <v>405.70905000000005</v>
          </cell>
          <cell r="K818">
            <v>5274.2176500000005</v>
          </cell>
          <cell r="L818">
            <v>0.45</v>
          </cell>
          <cell r="M818">
            <v>200.83</v>
          </cell>
          <cell r="N818">
            <v>2610.79</v>
          </cell>
          <cell r="O818">
            <v>0.50499009080522117</v>
          </cell>
          <cell r="P818">
            <v>0.5</v>
          </cell>
          <cell r="Q818">
            <v>182.57</v>
          </cell>
        </row>
        <row r="819">
          <cell r="F819" t="str">
            <v>ESPECIALIZAÇÃO EM NUTRIÇÃO E POLÍTICAS DE NUTRIÇÃO</v>
          </cell>
          <cell r="G819" t="str">
            <v>Saúde</v>
          </cell>
          <cell r="H819">
            <v>6</v>
          </cell>
          <cell r="I819">
            <v>13</v>
          </cell>
          <cell r="J819">
            <v>405.70905000000005</v>
          </cell>
          <cell r="K819">
            <v>5274.2176500000005</v>
          </cell>
          <cell r="L819">
            <v>0.45</v>
          </cell>
          <cell r="M819">
            <v>200.83</v>
          </cell>
          <cell r="N819">
            <v>2610.79</v>
          </cell>
          <cell r="O819">
            <v>0.50499009080522117</v>
          </cell>
          <cell r="P819">
            <v>0.5</v>
          </cell>
          <cell r="Q819">
            <v>182.57</v>
          </cell>
        </row>
        <row r="820">
          <cell r="F820" t="str">
            <v>ESPECIALIZAÇÃO EM NUTRIÇÃO E SAÚDE PÚBLICA</v>
          </cell>
          <cell r="G820" t="str">
            <v>Saúde</v>
          </cell>
          <cell r="H820">
            <v>12</v>
          </cell>
          <cell r="I820">
            <v>19</v>
          </cell>
          <cell r="J820">
            <v>277.58266800000001</v>
          </cell>
          <cell r="K820">
            <v>5274.0706920000002</v>
          </cell>
          <cell r="L820">
            <v>0.45</v>
          </cell>
          <cell r="M820">
            <v>137.4</v>
          </cell>
          <cell r="N820">
            <v>2610.6</v>
          </cell>
          <cell r="O820">
            <v>0.50501232303163834</v>
          </cell>
          <cell r="P820">
            <v>0.5</v>
          </cell>
          <cell r="Q820">
            <v>124.91</v>
          </cell>
        </row>
        <row r="821">
          <cell r="F821" t="str">
            <v>ESPECIALIZAÇÃO EM NUTRIÇÃO ESPORTIVA</v>
          </cell>
          <cell r="G821" t="str">
            <v>Saúde</v>
          </cell>
          <cell r="H821">
            <v>12</v>
          </cell>
          <cell r="I821">
            <v>19</v>
          </cell>
          <cell r="J821">
            <v>277.58266800000001</v>
          </cell>
          <cell r="K821">
            <v>5274.0706920000002</v>
          </cell>
          <cell r="L821">
            <v>0.45</v>
          </cell>
          <cell r="M821">
            <v>137.4</v>
          </cell>
          <cell r="N821">
            <v>2610.6</v>
          </cell>
          <cell r="O821">
            <v>0.50501232303163834</v>
          </cell>
          <cell r="P821">
            <v>0.5</v>
          </cell>
          <cell r="Q821">
            <v>124.91</v>
          </cell>
        </row>
        <row r="822">
          <cell r="F822" t="str">
            <v>ESPECIALIZAÇÃO EM ORIENTAÇÃO E SUPERVISÃO ESCOLAR</v>
          </cell>
          <cell r="G822" t="str">
            <v>Humanas</v>
          </cell>
          <cell r="H822">
            <v>12</v>
          </cell>
          <cell r="I822">
            <v>19</v>
          </cell>
          <cell r="J822">
            <v>184.28091221052631</v>
          </cell>
          <cell r="K822">
            <v>3501.3373320000001</v>
          </cell>
          <cell r="L822">
            <v>0.45</v>
          </cell>
          <cell r="M822">
            <v>91.22</v>
          </cell>
          <cell r="N822">
            <v>1733.18</v>
          </cell>
          <cell r="O822">
            <v>0.50499485320656334</v>
          </cell>
          <cell r="P822">
            <v>0.5</v>
          </cell>
          <cell r="Q822">
            <v>82.93</v>
          </cell>
        </row>
        <row r="823">
          <cell r="F823" t="str">
            <v>ESPECIALIZAÇÃO EM PEDAGOGIA EMPRESARIAL</v>
          </cell>
          <cell r="G823" t="str">
            <v>Humanas</v>
          </cell>
          <cell r="H823">
            <v>12</v>
          </cell>
          <cell r="I823">
            <v>19</v>
          </cell>
          <cell r="J823">
            <v>184.28091221052631</v>
          </cell>
          <cell r="K823">
            <v>3501.3373320000001</v>
          </cell>
          <cell r="L823">
            <v>0.45</v>
          </cell>
          <cell r="M823">
            <v>91.22</v>
          </cell>
          <cell r="N823">
            <v>1733.18</v>
          </cell>
          <cell r="O823">
            <v>0.50499485320656334</v>
          </cell>
          <cell r="P823">
            <v>0.5</v>
          </cell>
          <cell r="Q823">
            <v>82.93</v>
          </cell>
        </row>
        <row r="824">
          <cell r="F824" t="str">
            <v>ESPECIALIZAÇÃO EM PEDAGOGIA NAS ORGANIZAÇÕES</v>
          </cell>
          <cell r="G824" t="str">
            <v>Humanas</v>
          </cell>
          <cell r="H824">
            <v>6</v>
          </cell>
          <cell r="I824">
            <v>13</v>
          </cell>
          <cell r="J824">
            <v>269.33202599999998</v>
          </cell>
          <cell r="K824">
            <v>3501.3163379999996</v>
          </cell>
          <cell r="L824">
            <v>0.45</v>
          </cell>
          <cell r="M824">
            <v>133.32</v>
          </cell>
          <cell r="N824">
            <v>1733.1599999999999</v>
          </cell>
          <cell r="O824">
            <v>0.50499759727794125</v>
          </cell>
          <cell r="P824">
            <v>0.5</v>
          </cell>
          <cell r="Q824">
            <v>121.2</v>
          </cell>
        </row>
        <row r="825">
          <cell r="F825" t="str">
            <v>ESPECIALIZAÇÃO EM PLANEJAMENTO E GESTÃO EDUCACIONAL</v>
          </cell>
          <cell r="G825" t="str">
            <v>Humanas</v>
          </cell>
          <cell r="H825">
            <v>6</v>
          </cell>
          <cell r="I825">
            <v>13</v>
          </cell>
          <cell r="J825">
            <v>269.33202599999998</v>
          </cell>
          <cell r="K825">
            <v>3501.3163379999996</v>
          </cell>
          <cell r="L825">
            <v>0.45</v>
          </cell>
          <cell r="M825">
            <v>133.32</v>
          </cell>
          <cell r="N825">
            <v>1733.1599999999999</v>
          </cell>
          <cell r="O825">
            <v>0.50499759727794125</v>
          </cell>
          <cell r="P825">
            <v>0.5</v>
          </cell>
          <cell r="Q825">
            <v>121.2</v>
          </cell>
        </row>
        <row r="826">
          <cell r="F826" t="str">
            <v>ESPECIALIZAÇÃO EM PODOLOGIA</v>
          </cell>
          <cell r="G826" t="str">
            <v>Saúde</v>
          </cell>
          <cell r="H826">
            <v>6</v>
          </cell>
          <cell r="I826">
            <v>13</v>
          </cell>
          <cell r="J826">
            <v>405.70905000000005</v>
          </cell>
          <cell r="K826">
            <v>5274.2176500000005</v>
          </cell>
          <cell r="L826">
            <v>0.45</v>
          </cell>
          <cell r="M826">
            <v>200.83</v>
          </cell>
          <cell r="N826">
            <v>2610.79</v>
          </cell>
          <cell r="O826">
            <v>0.50499009080522117</v>
          </cell>
          <cell r="P826">
            <v>0.5</v>
          </cell>
          <cell r="Q826">
            <v>182.57</v>
          </cell>
        </row>
        <row r="827">
          <cell r="F827" t="str">
            <v>ESPECIALIZAÇÃO EM PODOLOGIA CLÍNICA</v>
          </cell>
          <cell r="G827" t="str">
            <v>Saúde</v>
          </cell>
          <cell r="H827">
            <v>12</v>
          </cell>
          <cell r="I827">
            <v>19</v>
          </cell>
          <cell r="J827">
            <v>277.58266800000001</v>
          </cell>
          <cell r="K827">
            <v>5274.0706920000002</v>
          </cell>
          <cell r="L827">
            <v>0.45</v>
          </cell>
          <cell r="M827">
            <v>137.4</v>
          </cell>
          <cell r="N827">
            <v>2610.6</v>
          </cell>
          <cell r="O827">
            <v>0.50501232303163834</v>
          </cell>
          <cell r="P827">
            <v>0.5</v>
          </cell>
          <cell r="Q827">
            <v>124.91</v>
          </cell>
        </row>
        <row r="828">
          <cell r="F828" t="str">
            <v>ESPECIALIZAÇÃO EM PORTUGUÊS JURÍDICO</v>
          </cell>
          <cell r="G828" t="str">
            <v>Humanas</v>
          </cell>
          <cell r="H828">
            <v>12</v>
          </cell>
          <cell r="I828">
            <v>19</v>
          </cell>
          <cell r="J828">
            <v>184.28091221052631</v>
          </cell>
          <cell r="K828">
            <v>3501.3373320000001</v>
          </cell>
          <cell r="L828">
            <v>0.45</v>
          </cell>
          <cell r="M828">
            <v>91.22</v>
          </cell>
          <cell r="N828">
            <v>1733.18</v>
          </cell>
          <cell r="O828">
            <v>0.50499485320656334</v>
          </cell>
          <cell r="P828">
            <v>0.5</v>
          </cell>
          <cell r="Q828">
            <v>82.93</v>
          </cell>
        </row>
        <row r="829">
          <cell r="F829" t="str">
            <v>ESPECIALIZAÇÃO EM PRÁTICAS DE LETRAMENTO E ALFABETIZAÇÃO</v>
          </cell>
          <cell r="G829" t="str">
            <v>Humanas</v>
          </cell>
          <cell r="H829">
            <v>6</v>
          </cell>
          <cell r="I829">
            <v>13</v>
          </cell>
          <cell r="J829">
            <v>269.33202599999998</v>
          </cell>
          <cell r="K829">
            <v>3501.3163379999996</v>
          </cell>
          <cell r="L829">
            <v>0.45</v>
          </cell>
          <cell r="M829">
            <v>133.32</v>
          </cell>
          <cell r="N829">
            <v>1733.1599999999999</v>
          </cell>
          <cell r="O829">
            <v>0.50499759727794125</v>
          </cell>
          <cell r="P829">
            <v>0.5</v>
          </cell>
          <cell r="Q829">
            <v>121.2</v>
          </cell>
        </row>
        <row r="830">
          <cell r="F830" t="str">
            <v>ESPECIALIZAÇÃO EM PRÁTICAS MEDIADORAS DE GESTÃO DE CONFLITOS ESCOLAR</v>
          </cell>
          <cell r="G830" t="str">
            <v>Humanas</v>
          </cell>
          <cell r="H830">
            <v>6</v>
          </cell>
          <cell r="I830">
            <v>13</v>
          </cell>
          <cell r="J830">
            <v>269.33202599999998</v>
          </cell>
          <cell r="K830">
            <v>3501.3163379999996</v>
          </cell>
          <cell r="L830">
            <v>0.45</v>
          </cell>
          <cell r="M830">
            <v>133.32</v>
          </cell>
          <cell r="N830">
            <v>1733.1599999999999</v>
          </cell>
          <cell r="O830">
            <v>0.50499759727794125</v>
          </cell>
          <cell r="P830">
            <v>0.5</v>
          </cell>
          <cell r="Q830">
            <v>121.2</v>
          </cell>
        </row>
        <row r="831">
          <cell r="F831" t="str">
            <v>ESPECIALIZAÇÃO EM PRESCRIÇÃO DE FITOTERÁPICOS E SUPLEMENTAÇÃO NUTRICIONAL, CLÍNICA E ESPORTIVA</v>
          </cell>
          <cell r="G831" t="str">
            <v>Saúde</v>
          </cell>
          <cell r="H831">
            <v>12</v>
          </cell>
          <cell r="I831">
            <v>19</v>
          </cell>
          <cell r="J831">
            <v>277.58266800000001</v>
          </cell>
          <cell r="K831">
            <v>5274.0706920000002</v>
          </cell>
          <cell r="L831">
            <v>0.45</v>
          </cell>
          <cell r="M831">
            <v>137.4</v>
          </cell>
          <cell r="N831">
            <v>2610.6</v>
          </cell>
          <cell r="O831">
            <v>0.50501232303163834</v>
          </cell>
          <cell r="P831">
            <v>0.5</v>
          </cell>
          <cell r="Q831">
            <v>124.91</v>
          </cell>
        </row>
        <row r="832">
          <cell r="F832" t="str">
            <v>ESPECIALIZAÇÃO EM PROCESSOS GERENCIAIS</v>
          </cell>
          <cell r="G832" t="str">
            <v>Exatas</v>
          </cell>
          <cell r="H832">
            <v>6</v>
          </cell>
          <cell r="I832">
            <v>13</v>
          </cell>
          <cell r="J832">
            <v>269.33202599999998</v>
          </cell>
          <cell r="K832">
            <v>3501.3163379999996</v>
          </cell>
          <cell r="L832">
            <v>0.45</v>
          </cell>
          <cell r="M832">
            <v>133.32</v>
          </cell>
          <cell r="N832">
            <v>1733.1599999999999</v>
          </cell>
          <cell r="O832">
            <v>0.50499759727794125</v>
          </cell>
          <cell r="P832">
            <v>0.5</v>
          </cell>
          <cell r="Q832">
            <v>121.2</v>
          </cell>
        </row>
        <row r="833">
          <cell r="F833" t="str">
            <v>ESPECIALIZAÇÃO EM PROGRAMA NEUROEDUCATIVO</v>
          </cell>
          <cell r="G833" t="str">
            <v>Humanas</v>
          </cell>
          <cell r="H833">
            <v>6</v>
          </cell>
          <cell r="I833">
            <v>13</v>
          </cell>
          <cell r="J833">
            <v>269.33202599999998</v>
          </cell>
          <cell r="K833">
            <v>3501.3163379999996</v>
          </cell>
          <cell r="L833">
            <v>0.45</v>
          </cell>
          <cell r="M833">
            <v>133.32</v>
          </cell>
          <cell r="N833">
            <v>1733.1599999999999</v>
          </cell>
          <cell r="O833">
            <v>0.50499759727794125</v>
          </cell>
          <cell r="P833">
            <v>0.5</v>
          </cell>
          <cell r="Q833">
            <v>121.2</v>
          </cell>
        </row>
        <row r="834">
          <cell r="F834" t="str">
            <v>ESPECIALIZAÇÃO EM PROJETOS DE DESIGN DE INTERIORES</v>
          </cell>
          <cell r="G834" t="str">
            <v>Exatas</v>
          </cell>
          <cell r="H834">
            <v>6</v>
          </cell>
          <cell r="I834">
            <v>13</v>
          </cell>
          <cell r="J834">
            <v>269.33202599999998</v>
          </cell>
          <cell r="K834">
            <v>3501.3163379999996</v>
          </cell>
          <cell r="L834">
            <v>0.45</v>
          </cell>
          <cell r="M834">
            <v>133.32</v>
          </cell>
          <cell r="N834">
            <v>1733.1599999999999</v>
          </cell>
          <cell r="O834">
            <v>0.50499759727794125</v>
          </cell>
          <cell r="P834">
            <v>0.5</v>
          </cell>
          <cell r="Q834">
            <v>121.2</v>
          </cell>
        </row>
        <row r="835">
          <cell r="F835" t="str">
            <v>ESPECIALIZAÇÃO EM PROJETOS DE INTERIORES E SUSTENTABILIDADE</v>
          </cell>
          <cell r="G835" t="str">
            <v>Humanas</v>
          </cell>
          <cell r="H835">
            <v>6</v>
          </cell>
          <cell r="I835">
            <v>13</v>
          </cell>
          <cell r="J835">
            <v>269.33202599999998</v>
          </cell>
          <cell r="K835">
            <v>3501.3163379999996</v>
          </cell>
          <cell r="L835">
            <v>0.45</v>
          </cell>
          <cell r="M835">
            <v>133.32</v>
          </cell>
          <cell r="N835">
            <v>1733.1599999999999</v>
          </cell>
          <cell r="O835">
            <v>0.50499759727794125</v>
          </cell>
          <cell r="P835">
            <v>0.5</v>
          </cell>
          <cell r="Q835">
            <v>121.2</v>
          </cell>
        </row>
        <row r="836">
          <cell r="F836" t="str">
            <v>ESPECIALIZAÇÃO EM PROJETOS DE INTERIORES SUSTENTÁVEIS</v>
          </cell>
          <cell r="G836" t="str">
            <v>Humanas</v>
          </cell>
          <cell r="H836">
            <v>12</v>
          </cell>
          <cell r="I836">
            <v>19</v>
          </cell>
          <cell r="J836">
            <v>184.28091221052631</v>
          </cell>
          <cell r="K836">
            <v>3501.3373320000001</v>
          </cell>
          <cell r="L836">
            <v>0.45</v>
          </cell>
          <cell r="M836">
            <v>91.22</v>
          </cell>
          <cell r="N836">
            <v>1733.18</v>
          </cell>
          <cell r="O836">
            <v>0.50499485320656334</v>
          </cell>
          <cell r="P836">
            <v>0.5</v>
          </cell>
          <cell r="Q836">
            <v>82.93</v>
          </cell>
        </row>
        <row r="837">
          <cell r="F837" t="str">
            <v>ESPECIALIZAÇÃO EM PSICOLOGIA CLÍNICA HOSPITALAR</v>
          </cell>
          <cell r="G837" t="str">
            <v>Saúde</v>
          </cell>
          <cell r="H837">
            <v>6</v>
          </cell>
          <cell r="I837">
            <v>13</v>
          </cell>
          <cell r="J837">
            <v>405.70905000000005</v>
          </cell>
          <cell r="K837">
            <v>5274.2176500000005</v>
          </cell>
          <cell r="L837">
            <v>0.45</v>
          </cell>
          <cell r="M837">
            <v>200.83</v>
          </cell>
          <cell r="N837">
            <v>2610.79</v>
          </cell>
          <cell r="O837">
            <v>0.50499009080522117</v>
          </cell>
          <cell r="P837">
            <v>0.5</v>
          </cell>
          <cell r="Q837">
            <v>182.57</v>
          </cell>
        </row>
        <row r="838">
          <cell r="F838" t="str">
            <v>ESPECIALIZAÇÃO EM PSICOLOGIA HOSPITALAR</v>
          </cell>
          <cell r="G838" t="str">
            <v>Saúde</v>
          </cell>
          <cell r="H838">
            <v>12</v>
          </cell>
          <cell r="I838">
            <v>19</v>
          </cell>
          <cell r="J838">
            <v>277.58266800000001</v>
          </cell>
          <cell r="K838">
            <v>5274.0706920000002</v>
          </cell>
          <cell r="L838">
            <v>0.45</v>
          </cell>
          <cell r="M838">
            <v>137.4</v>
          </cell>
          <cell r="N838">
            <v>2610.6</v>
          </cell>
          <cell r="O838">
            <v>0.50501232303163834</v>
          </cell>
          <cell r="P838">
            <v>0.5</v>
          </cell>
          <cell r="Q838">
            <v>124.91</v>
          </cell>
        </row>
        <row r="839">
          <cell r="F839" t="str">
            <v>ESPECIALIZAÇÃO EM PSICOLOGIA NAS ORGANIZAÇÕES</v>
          </cell>
          <cell r="G839" t="str">
            <v>Humanas</v>
          </cell>
          <cell r="H839">
            <v>6</v>
          </cell>
          <cell r="I839">
            <v>13</v>
          </cell>
          <cell r="J839">
            <v>269.33202599999998</v>
          </cell>
          <cell r="K839">
            <v>3501.3163379999996</v>
          </cell>
          <cell r="L839">
            <v>0.45</v>
          </cell>
          <cell r="M839">
            <v>133.32</v>
          </cell>
          <cell r="N839">
            <v>1733.1599999999999</v>
          </cell>
          <cell r="O839">
            <v>0.50499759727794125</v>
          </cell>
          <cell r="P839">
            <v>0.5</v>
          </cell>
          <cell r="Q839">
            <v>121.2</v>
          </cell>
        </row>
        <row r="840">
          <cell r="F840" t="str">
            <v>ESPECIALIZAÇÃO EM PSICOLOGIA ORGANIZACIONAL</v>
          </cell>
          <cell r="G840" t="str">
            <v>Humanas</v>
          </cell>
          <cell r="H840">
            <v>12</v>
          </cell>
          <cell r="I840">
            <v>19</v>
          </cell>
          <cell r="J840">
            <v>184.28091221052631</v>
          </cell>
          <cell r="K840">
            <v>3501.3373320000001</v>
          </cell>
          <cell r="L840">
            <v>0.45</v>
          </cell>
          <cell r="M840">
            <v>91.22</v>
          </cell>
          <cell r="N840">
            <v>1733.18</v>
          </cell>
          <cell r="O840">
            <v>0.50499485320656334</v>
          </cell>
          <cell r="P840">
            <v>0.5</v>
          </cell>
          <cell r="Q840">
            <v>82.93</v>
          </cell>
        </row>
        <row r="841">
          <cell r="F841" t="str">
            <v>ESPECIALIZAÇÃO EM PSICOPEDAGOGIA COM ÊNFASE EM EDUCAÇÃO ESPECIAL</v>
          </cell>
          <cell r="G841" t="str">
            <v>Humanas</v>
          </cell>
          <cell r="H841">
            <v>12</v>
          </cell>
          <cell r="I841">
            <v>19</v>
          </cell>
          <cell r="J841">
            <v>184.28091221052631</v>
          </cell>
          <cell r="K841">
            <v>3501.3373320000001</v>
          </cell>
          <cell r="L841">
            <v>0.45</v>
          </cell>
          <cell r="M841">
            <v>91.22</v>
          </cell>
          <cell r="N841">
            <v>1733.18</v>
          </cell>
          <cell r="O841">
            <v>0.50499485320656334</v>
          </cell>
          <cell r="P841">
            <v>0.5</v>
          </cell>
          <cell r="Q841">
            <v>82.93</v>
          </cell>
        </row>
        <row r="842">
          <cell r="F842" t="str">
            <v>ESPECIALIZAÇÃO EM PSICOPEDAGOGIA EM ÂMBITO HOSPITALAR</v>
          </cell>
          <cell r="G842" t="str">
            <v>Saúde</v>
          </cell>
          <cell r="H842">
            <v>6</v>
          </cell>
          <cell r="I842">
            <v>13</v>
          </cell>
          <cell r="J842">
            <v>405.70905000000005</v>
          </cell>
          <cell r="K842">
            <v>5274.2176500000005</v>
          </cell>
          <cell r="L842">
            <v>0.45</v>
          </cell>
          <cell r="M842">
            <v>200.83</v>
          </cell>
          <cell r="N842">
            <v>2610.79</v>
          </cell>
          <cell r="O842">
            <v>0.50499009080522117</v>
          </cell>
          <cell r="P842">
            <v>0.5</v>
          </cell>
          <cell r="Q842">
            <v>182.57</v>
          </cell>
        </row>
        <row r="843">
          <cell r="F843" t="str">
            <v>ESPECIALIZAÇÃO EM PSICOPEDAGOGIA ESCOLAR</v>
          </cell>
          <cell r="G843" t="str">
            <v>Humanas</v>
          </cell>
          <cell r="H843">
            <v>12</v>
          </cell>
          <cell r="I843">
            <v>19</v>
          </cell>
          <cell r="J843">
            <v>184.28091221052631</v>
          </cell>
          <cell r="K843">
            <v>3501.3373320000001</v>
          </cell>
          <cell r="L843">
            <v>0.45</v>
          </cell>
          <cell r="M843">
            <v>91.22</v>
          </cell>
          <cell r="N843">
            <v>1733.18</v>
          </cell>
          <cell r="O843">
            <v>0.50499485320656334</v>
          </cell>
          <cell r="P843">
            <v>0.5</v>
          </cell>
          <cell r="Q843">
            <v>82.93</v>
          </cell>
        </row>
        <row r="844">
          <cell r="F844" t="str">
            <v>ESPECIALIZAÇÃO EM PSICOPEDAGOGIA HOSPITALAR</v>
          </cell>
          <cell r="G844" t="str">
            <v>Saúde</v>
          </cell>
          <cell r="H844">
            <v>12</v>
          </cell>
          <cell r="I844">
            <v>19</v>
          </cell>
          <cell r="J844">
            <v>277.58266800000001</v>
          </cell>
          <cell r="K844">
            <v>5274.0706920000002</v>
          </cell>
          <cell r="L844">
            <v>0.45</v>
          </cell>
          <cell r="M844">
            <v>137.4</v>
          </cell>
          <cell r="N844">
            <v>2610.6</v>
          </cell>
          <cell r="O844">
            <v>0.50501232303163834</v>
          </cell>
          <cell r="P844">
            <v>0.5</v>
          </cell>
          <cell r="Q844">
            <v>124.91</v>
          </cell>
        </row>
        <row r="845">
          <cell r="F845" t="str">
            <v>ESPECIALIZAÇÃO EM PSICOPEDAGOGIA NA EDUCAÇÃO ESPECIAL</v>
          </cell>
          <cell r="G845" t="str">
            <v>Humanas</v>
          </cell>
          <cell r="H845">
            <v>6</v>
          </cell>
          <cell r="I845">
            <v>13</v>
          </cell>
          <cell r="J845">
            <v>269.33202599999998</v>
          </cell>
          <cell r="K845">
            <v>3501.3163379999996</v>
          </cell>
          <cell r="L845">
            <v>0.45</v>
          </cell>
          <cell r="M845">
            <v>133.32</v>
          </cell>
          <cell r="N845">
            <v>1733.1599999999999</v>
          </cell>
          <cell r="O845">
            <v>0.50499759727794125</v>
          </cell>
          <cell r="P845">
            <v>0.5</v>
          </cell>
          <cell r="Q845">
            <v>121.2</v>
          </cell>
        </row>
        <row r="846">
          <cell r="F846" t="str">
            <v>ESPECIALIZAÇÃO EM PSICOPEDAGOGIA NA ESCOLA</v>
          </cell>
          <cell r="G846" t="str">
            <v>Humanas</v>
          </cell>
          <cell r="H846">
            <v>6</v>
          </cell>
          <cell r="I846">
            <v>13</v>
          </cell>
          <cell r="J846">
            <v>269.33202599999998</v>
          </cell>
          <cell r="K846">
            <v>3501.3163379999996</v>
          </cell>
          <cell r="L846">
            <v>0.45</v>
          </cell>
          <cell r="M846">
            <v>133.32</v>
          </cell>
          <cell r="N846">
            <v>1733.1599999999999</v>
          </cell>
          <cell r="O846">
            <v>0.50499759727794125</v>
          </cell>
          <cell r="P846">
            <v>0.5</v>
          </cell>
          <cell r="Q846">
            <v>121.2</v>
          </cell>
        </row>
        <row r="847">
          <cell r="F847" t="str">
            <v>ESPECIALIZAÇÃO EM RECRUTAMENTO TECH</v>
          </cell>
          <cell r="G847" t="str">
            <v>Exatas</v>
          </cell>
          <cell r="H847">
            <v>6</v>
          </cell>
          <cell r="I847">
            <v>13</v>
          </cell>
          <cell r="J847">
            <v>269.33202599999998</v>
          </cell>
          <cell r="K847">
            <v>3501.3163379999996</v>
          </cell>
          <cell r="L847">
            <v>0.45</v>
          </cell>
          <cell r="M847">
            <v>133.32</v>
          </cell>
          <cell r="N847">
            <v>1733.1599999999999</v>
          </cell>
          <cell r="O847">
            <v>0.50499759727794125</v>
          </cell>
          <cell r="P847">
            <v>0.5</v>
          </cell>
          <cell r="Q847">
            <v>121.2</v>
          </cell>
        </row>
        <row r="848">
          <cell r="F848" t="str">
            <v>ESPECIALIZAÇÃO EM SAÚDE DA FAMÍLIA</v>
          </cell>
          <cell r="G848" t="str">
            <v>Saúde</v>
          </cell>
          <cell r="H848">
            <v>12</v>
          </cell>
          <cell r="I848">
            <v>19</v>
          </cell>
          <cell r="J848">
            <v>277.58266800000001</v>
          </cell>
          <cell r="K848">
            <v>5274.0706920000002</v>
          </cell>
          <cell r="L848">
            <v>0.45</v>
          </cell>
          <cell r="M848">
            <v>137.4</v>
          </cell>
          <cell r="N848">
            <v>2610.6</v>
          </cell>
          <cell r="O848">
            <v>0.50501232303163834</v>
          </cell>
          <cell r="P848">
            <v>0.5</v>
          </cell>
          <cell r="Q848">
            <v>124.91</v>
          </cell>
        </row>
        <row r="849">
          <cell r="F849" t="str">
            <v>ESPECIALIZAÇÃO EM SAÚDE DO IDOSO</v>
          </cell>
          <cell r="G849" t="str">
            <v>Saúde</v>
          </cell>
          <cell r="H849">
            <v>12</v>
          </cell>
          <cell r="I849">
            <v>19</v>
          </cell>
          <cell r="J849">
            <v>277.58266800000001</v>
          </cell>
          <cell r="K849">
            <v>5274.0706920000002</v>
          </cell>
          <cell r="L849">
            <v>0.45</v>
          </cell>
          <cell r="M849">
            <v>137.4</v>
          </cell>
          <cell r="N849">
            <v>2610.6</v>
          </cell>
          <cell r="O849">
            <v>0.50501232303163834</v>
          </cell>
          <cell r="P849">
            <v>0.5</v>
          </cell>
          <cell r="Q849">
            <v>124.91</v>
          </cell>
        </row>
        <row r="850">
          <cell r="F850" t="str">
            <v>ESPECIALIZAÇÃO EM SAÚDE DO TRABALHADOR</v>
          </cell>
          <cell r="G850" t="str">
            <v>Saúde</v>
          </cell>
          <cell r="H850">
            <v>12</v>
          </cell>
          <cell r="I850">
            <v>19</v>
          </cell>
          <cell r="J850">
            <v>277.58266800000001</v>
          </cell>
          <cell r="K850">
            <v>5274.0706920000002</v>
          </cell>
          <cell r="L850">
            <v>0.45</v>
          </cell>
          <cell r="M850">
            <v>137.4</v>
          </cell>
          <cell r="N850">
            <v>2610.6</v>
          </cell>
          <cell r="O850">
            <v>0.50501232303163834</v>
          </cell>
          <cell r="P850">
            <v>0.5</v>
          </cell>
          <cell r="Q850">
            <v>124.91</v>
          </cell>
        </row>
        <row r="851">
          <cell r="F851" t="str">
            <v>ESPECIALIZAÇÃO EM SAÚDE E SEGURANÇA DO TRABALHADOR</v>
          </cell>
          <cell r="G851" t="str">
            <v>Saúde</v>
          </cell>
          <cell r="H851">
            <v>6</v>
          </cell>
          <cell r="I851">
            <v>13</v>
          </cell>
          <cell r="J851">
            <v>405.70905000000005</v>
          </cell>
          <cell r="K851">
            <v>5274.2176500000005</v>
          </cell>
          <cell r="L851">
            <v>0.45</v>
          </cell>
          <cell r="M851">
            <v>200.83</v>
          </cell>
          <cell r="N851">
            <v>2610.79</v>
          </cell>
          <cell r="O851">
            <v>0.50499009080522117</v>
          </cell>
          <cell r="P851">
            <v>0.5</v>
          </cell>
          <cell r="Q851">
            <v>182.57</v>
          </cell>
        </row>
        <row r="852">
          <cell r="F852" t="str">
            <v>ESPECIALIZAÇÃO EM SAÚDE GERIÁTRICA</v>
          </cell>
          <cell r="G852" t="str">
            <v>Saúde</v>
          </cell>
          <cell r="H852">
            <v>6</v>
          </cell>
          <cell r="I852">
            <v>13</v>
          </cell>
          <cell r="J852">
            <v>405.70905000000005</v>
          </cell>
          <cell r="K852">
            <v>5274.2176500000005</v>
          </cell>
          <cell r="L852">
            <v>0.45</v>
          </cell>
          <cell r="M852">
            <v>200.83</v>
          </cell>
          <cell r="N852">
            <v>2610.79</v>
          </cell>
          <cell r="O852">
            <v>0.50499009080522117</v>
          </cell>
          <cell r="P852">
            <v>0.5</v>
          </cell>
          <cell r="Q852">
            <v>182.57</v>
          </cell>
        </row>
        <row r="853">
          <cell r="F853" t="str">
            <v>ESPECIALIZAÇÃO EM SAÚDE PÚBLICA</v>
          </cell>
          <cell r="G853" t="str">
            <v>Saúde</v>
          </cell>
          <cell r="H853">
            <v>12</v>
          </cell>
          <cell r="I853">
            <v>19</v>
          </cell>
          <cell r="J853">
            <v>277.58266800000001</v>
          </cell>
          <cell r="K853">
            <v>5274.0706920000002</v>
          </cell>
          <cell r="L853">
            <v>0.45</v>
          </cell>
          <cell r="M853">
            <v>137.4</v>
          </cell>
          <cell r="N853">
            <v>2610.6</v>
          </cell>
          <cell r="O853">
            <v>0.50501232303163834</v>
          </cell>
          <cell r="P853">
            <v>0.5</v>
          </cell>
          <cell r="Q853">
            <v>124.91</v>
          </cell>
        </row>
        <row r="854">
          <cell r="F854" t="str">
            <v>ESPECIALIZAÇÃO EM SAÚDE PÚBLICA E COLETIVA</v>
          </cell>
          <cell r="G854" t="str">
            <v>Saúde</v>
          </cell>
          <cell r="H854">
            <v>6</v>
          </cell>
          <cell r="I854">
            <v>13</v>
          </cell>
          <cell r="J854">
            <v>405.70905000000005</v>
          </cell>
          <cell r="K854">
            <v>5274.2176500000005</v>
          </cell>
          <cell r="L854">
            <v>0.45</v>
          </cell>
          <cell r="M854">
            <v>200.83</v>
          </cell>
          <cell r="N854">
            <v>2610.79</v>
          </cell>
          <cell r="O854">
            <v>0.50499009080522117</v>
          </cell>
          <cell r="P854">
            <v>0.5</v>
          </cell>
          <cell r="Q854">
            <v>182.57</v>
          </cell>
        </row>
        <row r="855">
          <cell r="F855" t="str">
            <v>ESPECIALIZAÇÃO EM SEGURANÇA CIBERNÉTICA</v>
          </cell>
          <cell r="G855" t="str">
            <v>Exatas</v>
          </cell>
          <cell r="H855">
            <v>6</v>
          </cell>
          <cell r="I855">
            <v>13</v>
          </cell>
          <cell r="J855">
            <v>405.70905000000005</v>
          </cell>
          <cell r="K855">
            <v>5274.2176500000005</v>
          </cell>
          <cell r="L855">
            <v>0.45</v>
          </cell>
          <cell r="M855">
            <v>200.83</v>
          </cell>
          <cell r="N855">
            <v>2610.79</v>
          </cell>
          <cell r="O855">
            <v>0.50499009080522117</v>
          </cell>
          <cell r="P855">
            <v>0.5</v>
          </cell>
          <cell r="Q855">
            <v>182.57</v>
          </cell>
        </row>
        <row r="856">
          <cell r="F856" t="str">
            <v>ESPECIALIZAÇÃO EM SEGURANÇA DIGITAL</v>
          </cell>
          <cell r="G856" t="str">
            <v>Exatas</v>
          </cell>
          <cell r="H856">
            <v>6</v>
          </cell>
          <cell r="I856">
            <v>13</v>
          </cell>
          <cell r="J856">
            <v>269.33202599999998</v>
          </cell>
          <cell r="K856">
            <v>3501.3163379999996</v>
          </cell>
          <cell r="L856">
            <v>0.45</v>
          </cell>
          <cell r="M856">
            <v>133.32</v>
          </cell>
          <cell r="N856">
            <v>1733.1599999999999</v>
          </cell>
          <cell r="O856">
            <v>0.50499759727794125</v>
          </cell>
          <cell r="P856">
            <v>0.5</v>
          </cell>
          <cell r="Q856">
            <v>121.2</v>
          </cell>
        </row>
        <row r="857">
          <cell r="F857" t="str">
            <v>ESPECIALIZAÇÃO EM SEGURANÇA PÚBLICA</v>
          </cell>
          <cell r="G857" t="str">
            <v>Humanas</v>
          </cell>
          <cell r="H857">
            <v>12</v>
          </cell>
          <cell r="I857">
            <v>19</v>
          </cell>
          <cell r="J857">
            <v>184.28091221052631</v>
          </cell>
          <cell r="K857">
            <v>3501.3373320000001</v>
          </cell>
          <cell r="L857">
            <v>0.45</v>
          </cell>
          <cell r="M857">
            <v>91.22</v>
          </cell>
          <cell r="N857">
            <v>1733.18</v>
          </cell>
          <cell r="O857">
            <v>0.50499485320656334</v>
          </cell>
          <cell r="P857">
            <v>0.5</v>
          </cell>
          <cell r="Q857">
            <v>82.93</v>
          </cell>
        </row>
        <row r="858">
          <cell r="F858" t="str">
            <v>ESPECIALIZAÇÃO EM SISTEMAS DE INFORMAÇÃO</v>
          </cell>
          <cell r="G858" t="str">
            <v>Exatas</v>
          </cell>
          <cell r="H858">
            <v>12</v>
          </cell>
          <cell r="I858">
            <v>19</v>
          </cell>
          <cell r="J858">
            <v>277.58266800000001</v>
          </cell>
          <cell r="K858">
            <v>5274.0706920000002</v>
          </cell>
          <cell r="L858">
            <v>0.45</v>
          </cell>
          <cell r="M858">
            <v>137.4</v>
          </cell>
          <cell r="N858">
            <v>2610.6</v>
          </cell>
          <cell r="O858">
            <v>0.50501232303163834</v>
          </cell>
          <cell r="P858">
            <v>0.5</v>
          </cell>
          <cell r="Q858">
            <v>124.91</v>
          </cell>
        </row>
        <row r="859">
          <cell r="F859" t="str">
            <v>ESPECIALIZAÇÃO EM SISTEMAS INFORMÁTICOS</v>
          </cell>
          <cell r="G859" t="str">
            <v>Exatas</v>
          </cell>
          <cell r="H859">
            <v>6</v>
          </cell>
          <cell r="I859">
            <v>13</v>
          </cell>
          <cell r="J859">
            <v>405.70905000000005</v>
          </cell>
          <cell r="K859">
            <v>5274.2176500000005</v>
          </cell>
          <cell r="L859">
            <v>0.45</v>
          </cell>
          <cell r="M859">
            <v>200.83</v>
          </cell>
          <cell r="N859">
            <v>2610.79</v>
          </cell>
          <cell r="O859">
            <v>0.50499009080522117</v>
          </cell>
          <cell r="P859">
            <v>0.5</v>
          </cell>
          <cell r="Q859">
            <v>182.57</v>
          </cell>
        </row>
        <row r="860">
          <cell r="F860" t="str">
            <v>ESPECIALIZAÇÃO EM SUPERVISÃO ESCOLAR E ORIENTAÇÃO</v>
          </cell>
          <cell r="G860" t="str">
            <v>Humanas</v>
          </cell>
          <cell r="H860">
            <v>6</v>
          </cell>
          <cell r="I860">
            <v>13</v>
          </cell>
          <cell r="J860">
            <v>269.33202599999998</v>
          </cell>
          <cell r="K860">
            <v>3501.3163379999996</v>
          </cell>
          <cell r="L860">
            <v>0.45</v>
          </cell>
          <cell r="M860">
            <v>133.32</v>
          </cell>
          <cell r="N860">
            <v>1733.1599999999999</v>
          </cell>
          <cell r="O860">
            <v>0.50499759727794125</v>
          </cell>
          <cell r="P860">
            <v>0.5</v>
          </cell>
          <cell r="Q860">
            <v>121.2</v>
          </cell>
        </row>
        <row r="861">
          <cell r="F861" t="str">
            <v>ESPECIALIZAÇÃO EM TECH RECRUITER</v>
          </cell>
          <cell r="G861" t="str">
            <v>Exatas</v>
          </cell>
          <cell r="H861">
            <v>12</v>
          </cell>
          <cell r="I861">
            <v>19</v>
          </cell>
          <cell r="J861">
            <v>184.28091221052631</v>
          </cell>
          <cell r="K861">
            <v>3501.3373320000001</v>
          </cell>
          <cell r="L861">
            <v>0.45</v>
          </cell>
          <cell r="M861">
            <v>91.22</v>
          </cell>
          <cell r="N861">
            <v>1733.18</v>
          </cell>
          <cell r="O861">
            <v>0.50499485320656334</v>
          </cell>
          <cell r="P861">
            <v>0.5</v>
          </cell>
          <cell r="Q861">
            <v>82.93</v>
          </cell>
        </row>
        <row r="862">
          <cell r="F862" t="str">
            <v>ESPECIALIZAÇÃO EM TESTES ÁGEIS DE SOFTWARE</v>
          </cell>
          <cell r="G862" t="str">
            <v>Exatas</v>
          </cell>
          <cell r="H862">
            <v>6</v>
          </cell>
          <cell r="I862">
            <v>13</v>
          </cell>
          <cell r="J862">
            <v>405.70905000000005</v>
          </cell>
          <cell r="K862">
            <v>5274.2176500000005</v>
          </cell>
          <cell r="L862">
            <v>0.45</v>
          </cell>
          <cell r="M862">
            <v>200.83</v>
          </cell>
          <cell r="N862">
            <v>2610.79</v>
          </cell>
          <cell r="O862">
            <v>0.50499009080522117</v>
          </cell>
          <cell r="P862">
            <v>0.5</v>
          </cell>
          <cell r="Q862">
            <v>182.57</v>
          </cell>
        </row>
        <row r="863">
          <cell r="F863" t="str">
            <v>ESPECIALIZAÇÃO EM TESTES DE SOFTWARE ÁGIL</v>
          </cell>
          <cell r="G863" t="str">
            <v>Negócios</v>
          </cell>
          <cell r="H863">
            <v>12</v>
          </cell>
          <cell r="I863">
            <v>19</v>
          </cell>
          <cell r="J863">
            <v>277.58266800000001</v>
          </cell>
          <cell r="K863">
            <v>5274.0706920000002</v>
          </cell>
          <cell r="L863">
            <v>0.45</v>
          </cell>
          <cell r="M863">
            <v>137.4</v>
          </cell>
          <cell r="N863">
            <v>2610.6</v>
          </cell>
          <cell r="O863">
            <v>0.50501232303163834</v>
          </cell>
          <cell r="P863">
            <v>0.5</v>
          </cell>
          <cell r="Q863">
            <v>124.91</v>
          </cell>
        </row>
        <row r="864">
          <cell r="F864" t="str">
            <v>ESPECIALIZAÇÃO EM TRANSFORMAÇÃO DIGITAL E CULTURA DIGITAL NAS ORGANIZAÇÕES</v>
          </cell>
          <cell r="G864" t="str">
            <v>Exatas</v>
          </cell>
          <cell r="H864">
            <v>6</v>
          </cell>
          <cell r="I864">
            <v>13</v>
          </cell>
          <cell r="J864">
            <v>269.33202599999998</v>
          </cell>
          <cell r="K864">
            <v>3501.3163379999996</v>
          </cell>
          <cell r="L864">
            <v>0.45</v>
          </cell>
          <cell r="M864">
            <v>133.32</v>
          </cell>
          <cell r="N864">
            <v>1733.1599999999999</v>
          </cell>
          <cell r="O864">
            <v>0.50499759727794125</v>
          </cell>
          <cell r="P864">
            <v>0.5</v>
          </cell>
          <cell r="Q864">
            <v>121.2</v>
          </cell>
        </row>
        <row r="865">
          <cell r="F865" t="str">
            <v>ESPECIALIZAÇÃO EM USER EXPERIENCE DESIGN</v>
          </cell>
          <cell r="G865" t="str">
            <v>Exatas</v>
          </cell>
          <cell r="H865">
            <v>12</v>
          </cell>
          <cell r="I865">
            <v>19</v>
          </cell>
          <cell r="J865">
            <v>184.28091221052631</v>
          </cell>
          <cell r="K865">
            <v>3501.3373320000001</v>
          </cell>
          <cell r="L865">
            <v>0.45</v>
          </cell>
          <cell r="M865">
            <v>91.22</v>
          </cell>
          <cell r="N865">
            <v>1733.18</v>
          </cell>
          <cell r="O865">
            <v>0.50499485320656334</v>
          </cell>
          <cell r="P865">
            <v>0.5</v>
          </cell>
          <cell r="Q865">
            <v>82.93</v>
          </cell>
        </row>
        <row r="866">
          <cell r="F866" t="str">
            <v>ESPECIALIZAÇÃO EM UX DESIGN</v>
          </cell>
          <cell r="G866" t="str">
            <v>Exatas</v>
          </cell>
          <cell r="H866">
            <v>6</v>
          </cell>
          <cell r="I866">
            <v>13</v>
          </cell>
          <cell r="J866">
            <v>269.33202599999998</v>
          </cell>
          <cell r="K866">
            <v>3501.3163379999996</v>
          </cell>
          <cell r="L866">
            <v>0.45</v>
          </cell>
          <cell r="M866">
            <v>133.32</v>
          </cell>
          <cell r="N866">
            <v>1733.1599999999999</v>
          </cell>
          <cell r="O866">
            <v>0.50499759727794125</v>
          </cell>
          <cell r="P866">
            <v>0.5</v>
          </cell>
          <cell r="Q866">
            <v>121.2</v>
          </cell>
        </row>
        <row r="867">
          <cell r="F867" t="str">
            <v>ESPECIALIZAÇÃO EM VIGILÂNCIA EM SAÚDE E EPIDEMIOLOGIA</v>
          </cell>
          <cell r="G867" t="str">
            <v>Saúde</v>
          </cell>
          <cell r="H867">
            <v>6</v>
          </cell>
          <cell r="I867">
            <v>13</v>
          </cell>
          <cell r="J867">
            <v>405.70905000000005</v>
          </cell>
          <cell r="K867">
            <v>5274.2176500000005</v>
          </cell>
          <cell r="L867">
            <v>0.45</v>
          </cell>
          <cell r="M867">
            <v>200.83</v>
          </cell>
          <cell r="N867">
            <v>2610.79</v>
          </cell>
          <cell r="O867">
            <v>0.50499009080522117</v>
          </cell>
          <cell r="P867">
            <v>0.5</v>
          </cell>
          <cell r="Q867">
            <v>182.57</v>
          </cell>
        </row>
        <row r="868">
          <cell r="F868" t="str">
            <v>ESPECIALIZAÇÃO NA EDUCAÇÃO COM ÊNFASE NO PROCESSO DE FORMAÇÃO ÉTNICO - RACIAL</v>
          </cell>
          <cell r="G868" t="str">
            <v>Saúde</v>
          </cell>
          <cell r="H868">
            <v>6</v>
          </cell>
          <cell r="I868">
            <v>13</v>
          </cell>
          <cell r="J868">
            <v>269.33202599999998</v>
          </cell>
          <cell r="K868">
            <v>3501.3163379999996</v>
          </cell>
          <cell r="L868">
            <v>0.45</v>
          </cell>
          <cell r="M868">
            <v>133.32</v>
          </cell>
          <cell r="N868">
            <v>1733.1599999999999</v>
          </cell>
          <cell r="O868">
            <v>0.50499759727794125</v>
          </cell>
          <cell r="P868">
            <v>0.5</v>
          </cell>
          <cell r="Q868">
            <v>121.2</v>
          </cell>
        </row>
        <row r="869">
          <cell r="F869" t="str">
            <v>MBA EM ADMINISTRAÇÃO PÚBLICA</v>
          </cell>
          <cell r="G869" t="str">
            <v>Humanas</v>
          </cell>
          <cell r="H869">
            <v>6</v>
          </cell>
          <cell r="I869">
            <v>13</v>
          </cell>
          <cell r="J869">
            <v>269.33202599999998</v>
          </cell>
          <cell r="K869">
            <v>3501.3163379999996</v>
          </cell>
          <cell r="L869">
            <v>0.45</v>
          </cell>
          <cell r="M869">
            <v>133.32</v>
          </cell>
          <cell r="N869">
            <v>1733.1599999999999</v>
          </cell>
          <cell r="O869">
            <v>0.50499759727794125</v>
          </cell>
          <cell r="P869">
            <v>0.5</v>
          </cell>
          <cell r="Q869">
            <v>121.2</v>
          </cell>
        </row>
        <row r="870">
          <cell r="F870" t="str">
            <v>MBA EM AUDITORIA E CONTROLADORIA</v>
          </cell>
          <cell r="G870" t="str">
            <v>Humanas</v>
          </cell>
          <cell r="H870">
            <v>6</v>
          </cell>
          <cell r="I870">
            <v>13</v>
          </cell>
          <cell r="J870">
            <v>269.33202599999998</v>
          </cell>
          <cell r="K870">
            <v>3501.3163379999996</v>
          </cell>
          <cell r="L870">
            <v>0.45</v>
          </cell>
          <cell r="M870">
            <v>133.32</v>
          </cell>
          <cell r="N870">
            <v>1733.1599999999999</v>
          </cell>
          <cell r="O870">
            <v>0.50499759727794125</v>
          </cell>
          <cell r="P870">
            <v>0.5</v>
          </cell>
          <cell r="Q870">
            <v>121.2</v>
          </cell>
        </row>
        <row r="871">
          <cell r="F871" t="str">
            <v>MBA EM AUDITORIA EM SAÚDE</v>
          </cell>
          <cell r="G871" t="str">
            <v>Saúde</v>
          </cell>
          <cell r="H871">
            <v>12</v>
          </cell>
          <cell r="I871">
            <v>19</v>
          </cell>
          <cell r="J871">
            <v>277.58266800000001</v>
          </cell>
          <cell r="K871">
            <v>5274.0706920000002</v>
          </cell>
          <cell r="L871">
            <v>0.45</v>
          </cell>
          <cell r="M871">
            <v>137.4</v>
          </cell>
          <cell r="N871">
            <v>2610.6</v>
          </cell>
          <cell r="O871">
            <v>0.50501232303163834</v>
          </cell>
          <cell r="P871">
            <v>0.5</v>
          </cell>
          <cell r="Q871">
            <v>124.91</v>
          </cell>
        </row>
        <row r="872">
          <cell r="F872" t="str">
            <v>MBA EM AUDITORIA EM SERVIÇOS DE SAÚDE</v>
          </cell>
          <cell r="G872" t="str">
            <v>Saúde</v>
          </cell>
          <cell r="H872">
            <v>6</v>
          </cell>
          <cell r="I872">
            <v>13</v>
          </cell>
          <cell r="J872">
            <v>405.70905000000005</v>
          </cell>
          <cell r="K872">
            <v>5274.2176500000005</v>
          </cell>
          <cell r="L872">
            <v>0.45</v>
          </cell>
          <cell r="M872">
            <v>200.83</v>
          </cell>
          <cell r="N872">
            <v>2610.79</v>
          </cell>
          <cell r="O872">
            <v>0.50499009080522117</v>
          </cell>
          <cell r="P872">
            <v>0.5</v>
          </cell>
          <cell r="Q872">
            <v>182.57</v>
          </cell>
        </row>
        <row r="873">
          <cell r="F873" t="str">
            <v>MBA EM COACHING</v>
          </cell>
          <cell r="G873" t="str">
            <v>Humanas</v>
          </cell>
          <cell r="H873">
            <v>6</v>
          </cell>
          <cell r="I873">
            <v>13</v>
          </cell>
          <cell r="J873">
            <v>269.33202599999998</v>
          </cell>
          <cell r="K873">
            <v>3501.3163379999996</v>
          </cell>
          <cell r="L873">
            <v>0.45</v>
          </cell>
          <cell r="M873">
            <v>133.32</v>
          </cell>
          <cell r="N873">
            <v>1733.1599999999999</v>
          </cell>
          <cell r="O873">
            <v>0.50499759727794125</v>
          </cell>
          <cell r="P873">
            <v>0.5</v>
          </cell>
          <cell r="Q873">
            <v>121.2</v>
          </cell>
        </row>
        <row r="874">
          <cell r="F874" t="str">
            <v>MBA EM COACHING E GESTÃO DE PESSOAS</v>
          </cell>
          <cell r="G874" t="str">
            <v>Humanas</v>
          </cell>
          <cell r="H874">
            <v>6</v>
          </cell>
          <cell r="I874">
            <v>13</v>
          </cell>
          <cell r="J874">
            <v>269.33202599999998</v>
          </cell>
          <cell r="K874">
            <v>3501.3163379999996</v>
          </cell>
          <cell r="L874">
            <v>0.45</v>
          </cell>
          <cell r="M874">
            <v>133.32</v>
          </cell>
          <cell r="N874">
            <v>1733.1599999999999</v>
          </cell>
          <cell r="O874">
            <v>0.50499759727794125</v>
          </cell>
          <cell r="P874">
            <v>0.5</v>
          </cell>
          <cell r="Q874">
            <v>121.2</v>
          </cell>
        </row>
        <row r="875">
          <cell r="F875" t="str">
            <v>MBA EM COACHING E GESTÃO DE TALENTOS</v>
          </cell>
          <cell r="G875" t="str">
            <v>Humanas</v>
          </cell>
          <cell r="H875">
            <v>12</v>
          </cell>
          <cell r="I875">
            <v>19</v>
          </cell>
          <cell r="J875">
            <v>184.28091221052631</v>
          </cell>
          <cell r="K875">
            <v>3501.3373320000001</v>
          </cell>
          <cell r="L875">
            <v>0.45</v>
          </cell>
          <cell r="M875">
            <v>91.22</v>
          </cell>
          <cell r="N875">
            <v>1733.18</v>
          </cell>
          <cell r="O875">
            <v>0.50499485320656334</v>
          </cell>
          <cell r="P875">
            <v>0.5</v>
          </cell>
          <cell r="Q875">
            <v>82.93</v>
          </cell>
        </row>
        <row r="876">
          <cell r="F876" t="str">
            <v>MBA EM COMPLIANCE DIGITAL E PROTEÇÃO DE DADOS</v>
          </cell>
          <cell r="G876" t="str">
            <v>Exatas</v>
          </cell>
          <cell r="H876">
            <v>6</v>
          </cell>
          <cell r="I876">
            <v>13</v>
          </cell>
          <cell r="J876">
            <v>405.70905000000005</v>
          </cell>
          <cell r="K876">
            <v>5274.2176500000005</v>
          </cell>
          <cell r="L876">
            <v>0.45</v>
          </cell>
          <cell r="M876">
            <v>200.83</v>
          </cell>
          <cell r="N876">
            <v>2610.79</v>
          </cell>
          <cell r="O876">
            <v>0.50499009080522117</v>
          </cell>
          <cell r="P876">
            <v>0.5</v>
          </cell>
          <cell r="Q876">
            <v>182.57</v>
          </cell>
        </row>
        <row r="877">
          <cell r="F877" t="str">
            <v>MBA EM CONTABILIDADE EMPRESARIAL</v>
          </cell>
          <cell r="G877" t="str">
            <v>Humanas</v>
          </cell>
          <cell r="H877">
            <v>12</v>
          </cell>
          <cell r="I877">
            <v>19</v>
          </cell>
          <cell r="J877">
            <v>184.28091221052631</v>
          </cell>
          <cell r="K877">
            <v>3501.3373320000001</v>
          </cell>
          <cell r="L877">
            <v>0.45</v>
          </cell>
          <cell r="M877">
            <v>91.22</v>
          </cell>
          <cell r="N877">
            <v>1733.18</v>
          </cell>
          <cell r="O877">
            <v>0.50499485320656334</v>
          </cell>
          <cell r="P877">
            <v>0.5</v>
          </cell>
          <cell r="Q877">
            <v>82.93</v>
          </cell>
        </row>
        <row r="878">
          <cell r="F878" t="str">
            <v>MBA EM CONTABILIDADE NAS EMPRESAS</v>
          </cell>
          <cell r="G878" t="str">
            <v>Humanas</v>
          </cell>
          <cell r="H878">
            <v>6</v>
          </cell>
          <cell r="I878">
            <v>13</v>
          </cell>
          <cell r="J878">
            <v>269.33202599999998</v>
          </cell>
          <cell r="K878">
            <v>3501.3163379999996</v>
          </cell>
          <cell r="L878">
            <v>0.45</v>
          </cell>
          <cell r="M878">
            <v>133.32</v>
          </cell>
          <cell r="N878">
            <v>1733.1599999999999</v>
          </cell>
          <cell r="O878">
            <v>0.50499759727794125</v>
          </cell>
          <cell r="P878">
            <v>0.5</v>
          </cell>
          <cell r="Q878">
            <v>121.2</v>
          </cell>
        </row>
        <row r="879">
          <cell r="F879" t="str">
            <v>MBA EM CONTABILIDADE, AUDITORIA E CONTROLADORIA</v>
          </cell>
          <cell r="G879" t="str">
            <v>Humanas</v>
          </cell>
          <cell r="H879">
            <v>12</v>
          </cell>
          <cell r="I879">
            <v>19</v>
          </cell>
          <cell r="J879">
            <v>184.28091221052631</v>
          </cell>
          <cell r="K879">
            <v>3501.3373320000001</v>
          </cell>
          <cell r="L879">
            <v>0.45</v>
          </cell>
          <cell r="M879">
            <v>91.22</v>
          </cell>
          <cell r="N879">
            <v>1733.18</v>
          </cell>
          <cell r="O879">
            <v>0.50499485320656334</v>
          </cell>
          <cell r="P879">
            <v>0.5</v>
          </cell>
          <cell r="Q879">
            <v>82.93</v>
          </cell>
        </row>
        <row r="880">
          <cell r="F880" t="str">
            <v>MBA EM DATA PROTECTION OFFICER</v>
          </cell>
          <cell r="G880" t="str">
            <v>Exatas</v>
          </cell>
          <cell r="H880">
            <v>12</v>
          </cell>
          <cell r="I880">
            <v>19</v>
          </cell>
          <cell r="J880">
            <v>277.58266800000001</v>
          </cell>
          <cell r="K880">
            <v>5274.0706920000002</v>
          </cell>
          <cell r="L880">
            <v>0.45</v>
          </cell>
          <cell r="M880">
            <v>137.4</v>
          </cell>
          <cell r="N880">
            <v>2610.6</v>
          </cell>
          <cell r="O880">
            <v>0.50501232303163834</v>
          </cell>
          <cell r="P880">
            <v>0.5</v>
          </cell>
          <cell r="Q880">
            <v>124.91</v>
          </cell>
        </row>
        <row r="881">
          <cell r="F881" t="str">
            <v>MBA EM EMPREENDEDORISMO</v>
          </cell>
          <cell r="G881" t="str">
            <v>Humanas</v>
          </cell>
          <cell r="H881">
            <v>12</v>
          </cell>
          <cell r="I881">
            <v>19</v>
          </cell>
          <cell r="J881">
            <v>184.28091221052631</v>
          </cell>
          <cell r="K881">
            <v>3501.3373320000001</v>
          </cell>
          <cell r="L881">
            <v>0.45</v>
          </cell>
          <cell r="M881">
            <v>91.22</v>
          </cell>
          <cell r="N881">
            <v>1733.18</v>
          </cell>
          <cell r="O881">
            <v>0.50499485320656334</v>
          </cell>
          <cell r="P881">
            <v>0.5</v>
          </cell>
          <cell r="Q881">
            <v>82.93</v>
          </cell>
        </row>
        <row r="882">
          <cell r="F882" t="str">
            <v>MBA EM GERENCIAMENTO DE PROJETOS</v>
          </cell>
          <cell r="G882" t="str">
            <v>Humanas</v>
          </cell>
          <cell r="H882">
            <v>6</v>
          </cell>
          <cell r="I882">
            <v>13</v>
          </cell>
          <cell r="J882">
            <v>269.33202599999998</v>
          </cell>
          <cell r="K882">
            <v>3501.3163379999996</v>
          </cell>
          <cell r="L882">
            <v>0.45</v>
          </cell>
          <cell r="M882">
            <v>133.32</v>
          </cell>
          <cell r="N882">
            <v>1733.1599999999999</v>
          </cell>
          <cell r="O882">
            <v>0.50499759727794125</v>
          </cell>
          <cell r="P882">
            <v>0.5</v>
          </cell>
          <cell r="Q882">
            <v>121.2</v>
          </cell>
        </row>
        <row r="883">
          <cell r="F883" t="str">
            <v>MBA EM GESTÃO 4.0: TRANSFORMAÇÃO DIGITAL E AUTOMAÇÃO DE PROCESSOS</v>
          </cell>
          <cell r="G883" t="str">
            <v>Negócios</v>
          </cell>
          <cell r="H883">
            <v>12</v>
          </cell>
          <cell r="I883">
            <v>19</v>
          </cell>
          <cell r="J883">
            <v>277.58266800000001</v>
          </cell>
          <cell r="K883">
            <v>5274.0706920000002</v>
          </cell>
          <cell r="L883">
            <v>0.45</v>
          </cell>
          <cell r="M883">
            <v>137.4</v>
          </cell>
          <cell r="N883">
            <v>2610.6</v>
          </cell>
          <cell r="O883">
            <v>0.50501232303163834</v>
          </cell>
          <cell r="P883">
            <v>0.5</v>
          </cell>
          <cell r="Q883">
            <v>124.91</v>
          </cell>
        </row>
        <row r="884">
          <cell r="F884" t="str">
            <v>MBA EM GESTÃO COMERCIAL E MARKETING</v>
          </cell>
          <cell r="G884" t="str">
            <v>Humanas</v>
          </cell>
          <cell r="H884">
            <v>12</v>
          </cell>
          <cell r="I884">
            <v>19</v>
          </cell>
          <cell r="J884">
            <v>184.28091221052631</v>
          </cell>
          <cell r="K884">
            <v>3501.3373320000001</v>
          </cell>
          <cell r="L884">
            <v>0.45</v>
          </cell>
          <cell r="M884">
            <v>91.22</v>
          </cell>
          <cell r="N884">
            <v>1733.18</v>
          </cell>
          <cell r="O884">
            <v>0.50499485320656334</v>
          </cell>
          <cell r="P884">
            <v>0.5</v>
          </cell>
          <cell r="Q884">
            <v>82.93</v>
          </cell>
        </row>
        <row r="885">
          <cell r="F885" t="str">
            <v>MBA EM GESTÃO DA QUALIDADE E GESTÃO AMBIENTAL</v>
          </cell>
          <cell r="G885" t="str">
            <v>Humanas</v>
          </cell>
          <cell r="H885">
            <v>12</v>
          </cell>
          <cell r="I885">
            <v>19</v>
          </cell>
          <cell r="J885">
            <v>184.28091221052631</v>
          </cell>
          <cell r="K885">
            <v>3501.3373320000001</v>
          </cell>
          <cell r="L885">
            <v>0.45</v>
          </cell>
          <cell r="M885">
            <v>91.22</v>
          </cell>
          <cell r="N885">
            <v>1733.18</v>
          </cell>
          <cell r="O885">
            <v>0.50499485320656334</v>
          </cell>
          <cell r="P885">
            <v>0.5</v>
          </cell>
          <cell r="Q885">
            <v>82.93</v>
          </cell>
        </row>
        <row r="886">
          <cell r="F886" t="str">
            <v>MBA EM GESTÃO DE EMPRESAS</v>
          </cell>
          <cell r="G886" t="str">
            <v>Humanas</v>
          </cell>
          <cell r="H886">
            <v>6</v>
          </cell>
          <cell r="I886">
            <v>13</v>
          </cell>
          <cell r="J886">
            <v>269.33202599999998</v>
          </cell>
          <cell r="K886">
            <v>3501.3163379999996</v>
          </cell>
          <cell r="L886">
            <v>0.45</v>
          </cell>
          <cell r="M886">
            <v>133.32</v>
          </cell>
          <cell r="N886">
            <v>1733.1599999999999</v>
          </cell>
          <cell r="O886">
            <v>0.50499759727794125</v>
          </cell>
          <cell r="P886">
            <v>0.5</v>
          </cell>
          <cell r="Q886">
            <v>121.2</v>
          </cell>
        </row>
        <row r="887">
          <cell r="F887" t="str">
            <v>MBA EM GESTÃO DE NEGÓCIOS DISRUPTIVOS E EXPERIÊNCIA EMPRESARIAL</v>
          </cell>
          <cell r="G887" t="str">
            <v>Exatas</v>
          </cell>
          <cell r="H887">
            <v>6</v>
          </cell>
          <cell r="I887">
            <v>13</v>
          </cell>
          <cell r="J887">
            <v>405.70905000000005</v>
          </cell>
          <cell r="K887">
            <v>5274.2176500000005</v>
          </cell>
          <cell r="L887">
            <v>0.45</v>
          </cell>
          <cell r="M887">
            <v>200.83</v>
          </cell>
          <cell r="N887">
            <v>2610.79</v>
          </cell>
          <cell r="O887">
            <v>0.50499009080522117</v>
          </cell>
          <cell r="P887">
            <v>0.5</v>
          </cell>
          <cell r="Q887">
            <v>182.57</v>
          </cell>
        </row>
        <row r="888">
          <cell r="F888" t="str">
            <v>MBA EM GESTÃO DE NEGÓCIOS EM SERVIÇOS DE ALIMENTAÇÃO</v>
          </cell>
          <cell r="G888" t="str">
            <v>Saúde</v>
          </cell>
          <cell r="H888">
            <v>12</v>
          </cell>
          <cell r="I888">
            <v>19</v>
          </cell>
          <cell r="J888">
            <v>184.28091221052631</v>
          </cell>
          <cell r="K888">
            <v>3501.3373320000001</v>
          </cell>
          <cell r="L888">
            <v>0.45</v>
          </cell>
          <cell r="M888">
            <v>91.22</v>
          </cell>
          <cell r="N888">
            <v>1733.18</v>
          </cell>
          <cell r="O888">
            <v>0.50499485320656334</v>
          </cell>
          <cell r="P888">
            <v>0.5</v>
          </cell>
          <cell r="Q888">
            <v>82.93</v>
          </cell>
        </row>
        <row r="889">
          <cell r="F889" t="str">
            <v>MBA EM GESTÃO DE NEGÓCIOS PARA GASTRONOMIA</v>
          </cell>
          <cell r="G889" t="str">
            <v>Humanas</v>
          </cell>
          <cell r="H889">
            <v>6</v>
          </cell>
          <cell r="I889">
            <v>13</v>
          </cell>
          <cell r="J889">
            <v>269.33202599999998</v>
          </cell>
          <cell r="K889">
            <v>3501.3163379999996</v>
          </cell>
          <cell r="L889">
            <v>0.45</v>
          </cell>
          <cell r="M889">
            <v>133.32</v>
          </cell>
          <cell r="N889">
            <v>1733.1599999999999</v>
          </cell>
          <cell r="O889">
            <v>0.50499759727794125</v>
          </cell>
          <cell r="P889">
            <v>0.5</v>
          </cell>
          <cell r="Q889">
            <v>121.2</v>
          </cell>
        </row>
        <row r="890">
          <cell r="F890" t="str">
            <v>MBA EM GESTÃO DE PESSOAS</v>
          </cell>
          <cell r="G890" t="str">
            <v>Humanas</v>
          </cell>
          <cell r="H890">
            <v>12</v>
          </cell>
          <cell r="I890">
            <v>19</v>
          </cell>
          <cell r="J890">
            <v>184.28091221052631</v>
          </cell>
          <cell r="K890">
            <v>3501.3373320000001</v>
          </cell>
          <cell r="L890">
            <v>0.45</v>
          </cell>
          <cell r="M890">
            <v>91.22</v>
          </cell>
          <cell r="N890">
            <v>1733.18</v>
          </cell>
          <cell r="O890">
            <v>0.50499485320656334</v>
          </cell>
          <cell r="P890">
            <v>0.5</v>
          </cell>
          <cell r="Q890">
            <v>82.93</v>
          </cell>
        </row>
        <row r="891">
          <cell r="F891" t="str">
            <v>MBA EM GESTÃO DE PESSOAS E RELAÇÕES TRABALHISTAS</v>
          </cell>
          <cell r="G891" t="str">
            <v>Humanas</v>
          </cell>
          <cell r="H891">
            <v>12</v>
          </cell>
          <cell r="I891">
            <v>19</v>
          </cell>
          <cell r="J891">
            <v>184.28091221052631</v>
          </cell>
          <cell r="K891">
            <v>3501.3373320000001</v>
          </cell>
          <cell r="L891">
            <v>0.45</v>
          </cell>
          <cell r="M891">
            <v>91.22</v>
          </cell>
          <cell r="N891">
            <v>1733.18</v>
          </cell>
          <cell r="O891">
            <v>0.50499485320656334</v>
          </cell>
          <cell r="P891">
            <v>0.5</v>
          </cell>
          <cell r="Q891">
            <v>82.93</v>
          </cell>
        </row>
        <row r="892">
          <cell r="F892" t="str">
            <v>MBA EM GESTÃO DE PROJETOS</v>
          </cell>
          <cell r="G892" t="str">
            <v>Humanas</v>
          </cell>
          <cell r="H892">
            <v>12</v>
          </cell>
          <cell r="I892">
            <v>19</v>
          </cell>
          <cell r="J892">
            <v>184.28091221052631</v>
          </cell>
          <cell r="K892">
            <v>3501.3373320000001</v>
          </cell>
          <cell r="L892">
            <v>0.45</v>
          </cell>
          <cell r="M892">
            <v>91.22</v>
          </cell>
          <cell r="N892">
            <v>1733.18</v>
          </cell>
          <cell r="O892">
            <v>0.50499485320656334</v>
          </cell>
          <cell r="P892">
            <v>0.5</v>
          </cell>
          <cell r="Q892">
            <v>82.93</v>
          </cell>
        </row>
        <row r="893">
          <cell r="F893" t="str">
            <v>MBA EM GESTÃO DE RELAÇÕES TRABALHISTAS</v>
          </cell>
          <cell r="G893" t="str">
            <v>Humanas</v>
          </cell>
          <cell r="H893">
            <v>6</v>
          </cell>
          <cell r="I893">
            <v>13</v>
          </cell>
          <cell r="J893">
            <v>269.33202599999998</v>
          </cell>
          <cell r="K893">
            <v>3501.3163379999996</v>
          </cell>
          <cell r="L893">
            <v>0.45</v>
          </cell>
          <cell r="M893">
            <v>133.32</v>
          </cell>
          <cell r="N893">
            <v>1733.1599999999999</v>
          </cell>
          <cell r="O893">
            <v>0.50499759727794125</v>
          </cell>
          <cell r="P893">
            <v>0.5</v>
          </cell>
          <cell r="Q893">
            <v>121.2</v>
          </cell>
        </row>
        <row r="894">
          <cell r="F894" t="str">
            <v>MBA EM GESTÃO DE TECNOLOGIAS DISRUPTIVAS E AUTOMAÇÃO DE PROCESSOS</v>
          </cell>
          <cell r="G894" t="str">
            <v>Exatas</v>
          </cell>
          <cell r="H894">
            <v>6</v>
          </cell>
          <cell r="I894">
            <v>13</v>
          </cell>
          <cell r="J894">
            <v>405.70905000000005</v>
          </cell>
          <cell r="K894">
            <v>5274.2176500000005</v>
          </cell>
          <cell r="L894">
            <v>0.45</v>
          </cell>
          <cell r="M894">
            <v>200.83</v>
          </cell>
          <cell r="N894">
            <v>2610.79</v>
          </cell>
          <cell r="O894">
            <v>0.50499009080522117</v>
          </cell>
          <cell r="P894">
            <v>0.5</v>
          </cell>
          <cell r="Q894">
            <v>182.57</v>
          </cell>
        </row>
        <row r="895">
          <cell r="F895" t="str">
            <v>MBA EM GESTÃO E CONSULTORIA EMPRESARIAL</v>
          </cell>
          <cell r="G895" t="str">
            <v>Humanas</v>
          </cell>
          <cell r="H895">
            <v>6</v>
          </cell>
          <cell r="I895">
            <v>13</v>
          </cell>
          <cell r="J895">
            <v>269.33202599999998</v>
          </cell>
          <cell r="K895">
            <v>3501.3163379999996</v>
          </cell>
          <cell r="L895">
            <v>0.45</v>
          </cell>
          <cell r="M895">
            <v>133.32</v>
          </cell>
          <cell r="N895">
            <v>1733.1599999999999</v>
          </cell>
          <cell r="O895">
            <v>0.50499759727794125</v>
          </cell>
          <cell r="P895">
            <v>0.5</v>
          </cell>
          <cell r="Q895">
            <v>121.2</v>
          </cell>
        </row>
        <row r="896">
          <cell r="F896" t="str">
            <v>MBA EM GESTÃO E CONSULTORIA ORGANIZACIONAL</v>
          </cell>
          <cell r="G896" t="str">
            <v>Humanas</v>
          </cell>
          <cell r="H896">
            <v>12</v>
          </cell>
          <cell r="I896">
            <v>19</v>
          </cell>
          <cell r="J896">
            <v>184.28091221052631</v>
          </cell>
          <cell r="K896">
            <v>3501.3373320000001</v>
          </cell>
          <cell r="L896">
            <v>0.45</v>
          </cell>
          <cell r="M896">
            <v>91.22</v>
          </cell>
          <cell r="N896">
            <v>1733.18</v>
          </cell>
          <cell r="O896">
            <v>0.50499485320656334</v>
          </cell>
          <cell r="P896">
            <v>0.5</v>
          </cell>
          <cell r="Q896">
            <v>82.93</v>
          </cell>
        </row>
        <row r="897">
          <cell r="F897" t="str">
            <v>MBA EM GESTÃO EM UNIDADES HOSPITALARES</v>
          </cell>
          <cell r="G897" t="str">
            <v>Humanas</v>
          </cell>
          <cell r="H897">
            <v>6</v>
          </cell>
          <cell r="I897">
            <v>13</v>
          </cell>
          <cell r="J897">
            <v>269.33202599999998</v>
          </cell>
          <cell r="K897">
            <v>3501.3163379999996</v>
          </cell>
          <cell r="L897">
            <v>0.45</v>
          </cell>
          <cell r="M897">
            <v>133.32</v>
          </cell>
          <cell r="N897">
            <v>1733.1599999999999</v>
          </cell>
          <cell r="O897">
            <v>0.50499759727794125</v>
          </cell>
          <cell r="P897">
            <v>0.5</v>
          </cell>
          <cell r="Q897">
            <v>121.2</v>
          </cell>
        </row>
        <row r="898">
          <cell r="F898" t="str">
            <v>MBA EM GESTÃO EMPREENDEDORA</v>
          </cell>
          <cell r="G898" t="str">
            <v>Humanas</v>
          </cell>
          <cell r="H898">
            <v>6</v>
          </cell>
          <cell r="I898">
            <v>13</v>
          </cell>
          <cell r="J898">
            <v>269.33202599999998</v>
          </cell>
          <cell r="K898">
            <v>3501.3163379999996</v>
          </cell>
          <cell r="L898">
            <v>0.45</v>
          </cell>
          <cell r="M898">
            <v>133.32</v>
          </cell>
          <cell r="N898">
            <v>1733.1599999999999</v>
          </cell>
          <cell r="O898">
            <v>0.50499759727794125</v>
          </cell>
          <cell r="P898">
            <v>0.5</v>
          </cell>
          <cell r="Q898">
            <v>121.2</v>
          </cell>
        </row>
        <row r="899">
          <cell r="F899" t="str">
            <v>MBA EM GESTÃO EMPRESARIAL</v>
          </cell>
          <cell r="G899" t="str">
            <v>Humanas</v>
          </cell>
          <cell r="H899">
            <v>12</v>
          </cell>
          <cell r="I899">
            <v>19</v>
          </cell>
          <cell r="J899">
            <v>184.28091221052631</v>
          </cell>
          <cell r="K899">
            <v>3501.3373320000001</v>
          </cell>
          <cell r="L899">
            <v>0.45</v>
          </cell>
          <cell r="M899">
            <v>91.22</v>
          </cell>
          <cell r="N899">
            <v>1733.18</v>
          </cell>
          <cell r="O899">
            <v>0.50499485320656334</v>
          </cell>
          <cell r="P899">
            <v>0.5</v>
          </cell>
          <cell r="Q899">
            <v>82.93</v>
          </cell>
        </row>
        <row r="900">
          <cell r="F900" t="str">
            <v>MBA EM GESTÃO HOSPITALAR</v>
          </cell>
          <cell r="G900" t="str">
            <v>Saúde</v>
          </cell>
          <cell r="H900">
            <v>12</v>
          </cell>
          <cell r="I900">
            <v>19</v>
          </cell>
          <cell r="J900">
            <v>184.28091221052631</v>
          </cell>
          <cell r="K900">
            <v>3501.3373320000001</v>
          </cell>
          <cell r="L900">
            <v>0.45</v>
          </cell>
          <cell r="M900">
            <v>91.22</v>
          </cell>
          <cell r="N900">
            <v>1733.18</v>
          </cell>
          <cell r="O900">
            <v>0.50499485320656334</v>
          </cell>
          <cell r="P900">
            <v>0.5</v>
          </cell>
          <cell r="Q900">
            <v>82.93</v>
          </cell>
        </row>
        <row r="901">
          <cell r="F901" t="str">
            <v>MBA EM GESTÃO PÚBLICA</v>
          </cell>
          <cell r="G901" t="str">
            <v>Humanas</v>
          </cell>
          <cell r="H901">
            <v>12</v>
          </cell>
          <cell r="I901">
            <v>19</v>
          </cell>
          <cell r="J901">
            <v>184.28091221052631</v>
          </cell>
          <cell r="K901">
            <v>3501.3373320000001</v>
          </cell>
          <cell r="L901">
            <v>0.45</v>
          </cell>
          <cell r="M901">
            <v>91.22</v>
          </cell>
          <cell r="N901">
            <v>1733.18</v>
          </cell>
          <cell r="O901">
            <v>0.50499485320656334</v>
          </cell>
          <cell r="P901">
            <v>0.5</v>
          </cell>
          <cell r="Q901">
            <v>82.93</v>
          </cell>
        </row>
        <row r="902">
          <cell r="F902" t="str">
            <v>MBA EM GESTÃO TECNOLÓGICA BIG DATA E INTELIGÊNCIA ARTIFICIAL</v>
          </cell>
          <cell r="G902" t="str">
            <v>Exatas</v>
          </cell>
          <cell r="H902">
            <v>6</v>
          </cell>
          <cell r="I902">
            <v>13</v>
          </cell>
          <cell r="J902">
            <v>405.70905000000005</v>
          </cell>
          <cell r="K902">
            <v>5274.2176500000005</v>
          </cell>
          <cell r="L902">
            <v>0.45</v>
          </cell>
          <cell r="M902">
            <v>200.83</v>
          </cell>
          <cell r="N902">
            <v>2610.79</v>
          </cell>
          <cell r="O902">
            <v>0.50499009080522117</v>
          </cell>
          <cell r="P902">
            <v>0.5</v>
          </cell>
          <cell r="Q902">
            <v>182.57</v>
          </cell>
        </row>
        <row r="903">
          <cell r="F903" t="str">
            <v>MBA EM GOVERNANÇA CORPORATIVA</v>
          </cell>
          <cell r="G903" t="str">
            <v>Negócios</v>
          </cell>
          <cell r="H903">
            <v>12</v>
          </cell>
          <cell r="I903">
            <v>19</v>
          </cell>
          <cell r="J903">
            <v>184.28091221052631</v>
          </cell>
          <cell r="K903">
            <v>3501.3373320000001</v>
          </cell>
          <cell r="L903">
            <v>0.45</v>
          </cell>
          <cell r="M903">
            <v>91.22</v>
          </cell>
          <cell r="N903">
            <v>1733.18</v>
          </cell>
          <cell r="O903">
            <v>0.50499485320656334</v>
          </cell>
          <cell r="P903">
            <v>0.5</v>
          </cell>
          <cell r="Q903">
            <v>82.93</v>
          </cell>
        </row>
        <row r="904">
          <cell r="F904" t="str">
            <v>MBA EM GOVERNANÇA EMPRESARIAL</v>
          </cell>
          <cell r="G904" t="str">
            <v>Humanas</v>
          </cell>
          <cell r="H904">
            <v>6</v>
          </cell>
          <cell r="I904">
            <v>13</v>
          </cell>
          <cell r="J904">
            <v>269.33202599999998</v>
          </cell>
          <cell r="K904">
            <v>3501.3163379999996</v>
          </cell>
          <cell r="L904">
            <v>0.45</v>
          </cell>
          <cell r="M904">
            <v>133.32</v>
          </cell>
          <cell r="N904">
            <v>1733.1599999999999</v>
          </cell>
          <cell r="O904">
            <v>0.50499759727794125</v>
          </cell>
          <cell r="P904">
            <v>0.5</v>
          </cell>
          <cell r="Q904">
            <v>121.2</v>
          </cell>
        </row>
        <row r="905">
          <cell r="F905" t="str">
            <v>MBA EM LGPD E COMPLIANCE DIGITAL</v>
          </cell>
          <cell r="G905" t="str">
            <v>Negócios</v>
          </cell>
          <cell r="H905">
            <v>12</v>
          </cell>
          <cell r="I905">
            <v>19</v>
          </cell>
          <cell r="J905">
            <v>277.58266800000001</v>
          </cell>
          <cell r="K905">
            <v>5274.0706920000002</v>
          </cell>
          <cell r="L905">
            <v>0.45</v>
          </cell>
          <cell r="M905">
            <v>137.4</v>
          </cell>
          <cell r="N905">
            <v>2610.6</v>
          </cell>
          <cell r="O905">
            <v>0.50501232303163834</v>
          </cell>
          <cell r="P905">
            <v>0.5</v>
          </cell>
          <cell r="Q905">
            <v>124.91</v>
          </cell>
        </row>
        <row r="906">
          <cell r="F906" t="str">
            <v>MBA EM LIDERANÇA E COACHING</v>
          </cell>
          <cell r="G906" t="str">
            <v>Negócios</v>
          </cell>
          <cell r="H906">
            <v>12</v>
          </cell>
          <cell r="I906">
            <v>19</v>
          </cell>
          <cell r="J906">
            <v>184.28091221052631</v>
          </cell>
          <cell r="K906">
            <v>3501.3373320000001</v>
          </cell>
          <cell r="L906">
            <v>0.45</v>
          </cell>
          <cell r="M906">
            <v>91.22</v>
          </cell>
          <cell r="N906">
            <v>1733.18</v>
          </cell>
          <cell r="O906">
            <v>0.50499485320656334</v>
          </cell>
          <cell r="P906">
            <v>0.5</v>
          </cell>
          <cell r="Q906">
            <v>82.93</v>
          </cell>
        </row>
        <row r="907">
          <cell r="F907" t="str">
            <v>MBA EM LOGÍSTICA EMPRESARIAL</v>
          </cell>
          <cell r="G907" t="str">
            <v>Humanas</v>
          </cell>
          <cell r="H907">
            <v>12</v>
          </cell>
          <cell r="I907">
            <v>19</v>
          </cell>
          <cell r="J907">
            <v>184.28091221052631</v>
          </cell>
          <cell r="K907">
            <v>3501.3373320000001</v>
          </cell>
          <cell r="L907">
            <v>0.45</v>
          </cell>
          <cell r="M907">
            <v>91.22</v>
          </cell>
          <cell r="N907">
            <v>1733.18</v>
          </cell>
          <cell r="O907">
            <v>0.50499485320656334</v>
          </cell>
          <cell r="P907">
            <v>0.5</v>
          </cell>
          <cell r="Q907">
            <v>82.93</v>
          </cell>
        </row>
        <row r="908">
          <cell r="F908" t="str">
            <v>MBA EM LOGÍSTICA NAS ORGANIZAÇÕES</v>
          </cell>
          <cell r="G908" t="str">
            <v>Humanas</v>
          </cell>
          <cell r="H908">
            <v>6</v>
          </cell>
          <cell r="I908">
            <v>13</v>
          </cell>
          <cell r="J908">
            <v>269.33202599999998</v>
          </cell>
          <cell r="K908">
            <v>3501.3163379999996</v>
          </cell>
          <cell r="L908">
            <v>0.45</v>
          </cell>
          <cell r="M908">
            <v>133.32</v>
          </cell>
          <cell r="N908">
            <v>1733.1599999999999</v>
          </cell>
          <cell r="O908">
            <v>0.50499759727794125</v>
          </cell>
          <cell r="P908">
            <v>0.5</v>
          </cell>
          <cell r="Q908">
            <v>121.2</v>
          </cell>
        </row>
        <row r="909">
          <cell r="F909" t="str">
            <v>MBA EM MARKETING E VENDAS</v>
          </cell>
          <cell r="G909" t="str">
            <v>Humanas</v>
          </cell>
          <cell r="H909">
            <v>6</v>
          </cell>
          <cell r="I909">
            <v>13</v>
          </cell>
          <cell r="J909">
            <v>269.33202599999998</v>
          </cell>
          <cell r="K909">
            <v>3501.3163379999996</v>
          </cell>
          <cell r="L909">
            <v>0.45</v>
          </cell>
          <cell r="M909">
            <v>133.32</v>
          </cell>
          <cell r="N909">
            <v>1733.1599999999999</v>
          </cell>
          <cell r="O909">
            <v>0.50499759727794125</v>
          </cell>
          <cell r="P909">
            <v>0.5</v>
          </cell>
          <cell r="Q909">
            <v>121.2</v>
          </cell>
        </row>
        <row r="910">
          <cell r="F910" t="str">
            <v>MBA EM MEIO AMBIENTE E GESTÃO DA QUALIDADE</v>
          </cell>
          <cell r="G910" t="str">
            <v>Humanas</v>
          </cell>
          <cell r="H910">
            <v>6</v>
          </cell>
          <cell r="I910">
            <v>13</v>
          </cell>
          <cell r="J910">
            <v>269.33202599999998</v>
          </cell>
          <cell r="K910">
            <v>3501.3163379999996</v>
          </cell>
          <cell r="L910">
            <v>0.45</v>
          </cell>
          <cell r="M910">
            <v>133.32</v>
          </cell>
          <cell r="N910">
            <v>1733.1599999999999</v>
          </cell>
          <cell r="O910">
            <v>0.50499759727794125</v>
          </cell>
          <cell r="P910">
            <v>0.5</v>
          </cell>
          <cell r="Q910">
            <v>121.2</v>
          </cell>
        </row>
        <row r="911">
          <cell r="F911" t="str">
            <v>MBA EM NEGÓCIOS DISRUPTIVOS E BUSINESS EXPERIENCE</v>
          </cell>
          <cell r="G911" t="str">
            <v>Negócios</v>
          </cell>
          <cell r="H911">
            <v>12</v>
          </cell>
          <cell r="I911">
            <v>19</v>
          </cell>
          <cell r="J911">
            <v>277.58266800000001</v>
          </cell>
          <cell r="K911">
            <v>5274.0706920000002</v>
          </cell>
          <cell r="L911">
            <v>0.45</v>
          </cell>
          <cell r="M911">
            <v>137.4</v>
          </cell>
          <cell r="N911">
            <v>2610.6</v>
          </cell>
          <cell r="O911">
            <v>0.50501232303163834</v>
          </cell>
          <cell r="P911">
            <v>0.5</v>
          </cell>
          <cell r="Q911">
            <v>124.91</v>
          </cell>
        </row>
        <row r="912">
          <cell r="F912" t="str">
            <v>MBA EM RECURSOS HUMANOS</v>
          </cell>
          <cell r="G912" t="str">
            <v>Humanas</v>
          </cell>
          <cell r="H912">
            <v>6</v>
          </cell>
          <cell r="I912">
            <v>13</v>
          </cell>
          <cell r="J912">
            <v>269.33202599999998</v>
          </cell>
          <cell r="K912">
            <v>3501.3163379999996</v>
          </cell>
          <cell r="L912">
            <v>0.45</v>
          </cell>
          <cell r="M912">
            <v>133.32</v>
          </cell>
          <cell r="N912">
            <v>1733.1599999999999</v>
          </cell>
          <cell r="O912">
            <v>0.50499759727794125</v>
          </cell>
          <cell r="P912">
            <v>0.5</v>
          </cell>
          <cell r="Q912">
            <v>121.2</v>
          </cell>
        </row>
        <row r="913">
          <cell r="F913" t="str">
            <v>MBA EM SAÚDE 5.0: INOVAÇÃO EM SAÚDE</v>
          </cell>
          <cell r="G913" t="str">
            <v>Saúde</v>
          </cell>
          <cell r="H913">
            <v>12</v>
          </cell>
          <cell r="I913">
            <v>19</v>
          </cell>
          <cell r="J913">
            <v>277.58266800000001</v>
          </cell>
          <cell r="K913">
            <v>5274.0706920000002</v>
          </cell>
          <cell r="L913">
            <v>0.45</v>
          </cell>
          <cell r="M913">
            <v>137.4</v>
          </cell>
          <cell r="N913">
            <v>2610.6</v>
          </cell>
          <cell r="O913">
            <v>0.50501232303163834</v>
          </cell>
          <cell r="P913">
            <v>0.5</v>
          </cell>
          <cell r="Q913">
            <v>124.91</v>
          </cell>
        </row>
        <row r="914">
          <cell r="F914" t="str">
            <v>MBA EM SAÚDE 5.0: TECNOLOGIA EM SAÚDE</v>
          </cell>
          <cell r="G914" t="str">
            <v>Saúde</v>
          </cell>
          <cell r="H914">
            <v>6</v>
          </cell>
          <cell r="I914">
            <v>13</v>
          </cell>
          <cell r="J914">
            <v>405.70905000000005</v>
          </cell>
          <cell r="K914">
            <v>5274.2176500000005</v>
          </cell>
          <cell r="L914">
            <v>0.45</v>
          </cell>
          <cell r="M914">
            <v>200.83</v>
          </cell>
          <cell r="N914">
            <v>2610.79</v>
          </cell>
          <cell r="O914">
            <v>0.50499009080522117</v>
          </cell>
          <cell r="P914">
            <v>0.5</v>
          </cell>
          <cell r="Q914">
            <v>182.57</v>
          </cell>
        </row>
        <row r="915">
          <cell r="F915" t="str">
            <v>MBA EM TECNOLOGIAS PARA GESTÃO: BIG DATA E INTELIGÊNCIA ARTIFICIAL</v>
          </cell>
          <cell r="G915" t="str">
            <v>Negócios</v>
          </cell>
          <cell r="H915">
            <v>12</v>
          </cell>
          <cell r="I915">
            <v>19</v>
          </cell>
          <cell r="J915">
            <v>277.58266800000001</v>
          </cell>
          <cell r="K915">
            <v>5274.0706920000002</v>
          </cell>
          <cell r="L915">
            <v>0.45</v>
          </cell>
          <cell r="M915">
            <v>137.4</v>
          </cell>
          <cell r="N915">
            <v>2610.6</v>
          </cell>
          <cell r="O915">
            <v>0.50501232303163834</v>
          </cell>
          <cell r="P915">
            <v>0.5</v>
          </cell>
          <cell r="Q915">
            <v>124.91</v>
          </cell>
        </row>
      </sheetData>
      <sheetData sheetId="3">
        <row r="5">
          <cell r="F5" t="str">
            <v>NOME SITE</v>
          </cell>
          <cell r="G5" t="str">
            <v>Área</v>
          </cell>
          <cell r="H5" t="str">
            <v>Duração Meses</v>
          </cell>
          <cell r="I5" t="str">
            <v>Nº Parcelas</v>
          </cell>
          <cell r="J5" t="str">
            <v>Parcela (R$)</v>
          </cell>
          <cell r="K5" t="str">
            <v>Valor Integral (R$)</v>
          </cell>
          <cell r="L5" t="str">
            <v>Desconto (%)</v>
          </cell>
          <cell r="M5" t="str">
            <v>Parcela c/ Desc (R$)</v>
          </cell>
          <cell r="N5" t="str">
            <v xml:space="preserve"> Valor Integral c/ Desc</v>
          </cell>
          <cell r="O5" t="str">
            <v>Desconto total (%)</v>
          </cell>
          <cell r="P5" t="str">
            <v>Desconto (%)</v>
          </cell>
          <cell r="Q5" t="str">
            <v>Parcela c/ Desc (R$)</v>
          </cell>
        </row>
        <row r="6">
          <cell r="F6" t="str">
            <v>ESPECIALIZAÇÃO EM DIREITO CIVIL E PROCESSO CIVIL</v>
          </cell>
          <cell r="G6" t="str">
            <v>Direito</v>
          </cell>
          <cell r="H6">
            <v>12</v>
          </cell>
          <cell r="I6">
            <v>19</v>
          </cell>
          <cell r="J6">
            <v>262.27804200000003</v>
          </cell>
          <cell r="K6">
            <v>4983.2827980000002</v>
          </cell>
          <cell r="L6">
            <v>0.4</v>
          </cell>
          <cell r="M6">
            <v>141.63</v>
          </cell>
          <cell r="N6">
            <v>2690.97</v>
          </cell>
          <cell r="O6">
            <v>0.46000054400284118</v>
          </cell>
          <cell r="P6">
            <v>0.45</v>
          </cell>
          <cell r="Q6">
            <v>129.83000000000001</v>
          </cell>
        </row>
        <row r="7">
          <cell r="F7" t="str">
            <v>ESPECIALIZAÇÃO EM DIREITO MATERIAL E PROCESSUAL DO TRABALHO</v>
          </cell>
          <cell r="G7" t="str">
            <v>Direito</v>
          </cell>
          <cell r="H7">
            <v>12</v>
          </cell>
          <cell r="I7">
            <v>19</v>
          </cell>
          <cell r="J7">
            <v>262.27804200000003</v>
          </cell>
          <cell r="K7">
            <v>4983.2827980000002</v>
          </cell>
          <cell r="L7">
            <v>0.5</v>
          </cell>
          <cell r="M7">
            <v>118.03</v>
          </cell>
          <cell r="N7">
            <v>2242.5700000000002</v>
          </cell>
          <cell r="O7">
            <v>0.54998138959722753</v>
          </cell>
          <cell r="P7">
            <v>0.55000000000000004</v>
          </cell>
          <cell r="Q7">
            <v>106.22</v>
          </cell>
        </row>
        <row r="8">
          <cell r="F8" t="str">
            <v>ESPECIALIZAÇÃO EM DOCÊNCIA DO ENSINO SUPERIOR</v>
          </cell>
          <cell r="G8" t="str">
            <v>Educação</v>
          </cell>
          <cell r="H8">
            <v>12</v>
          </cell>
          <cell r="I8">
            <v>19</v>
          </cell>
          <cell r="J8">
            <v>262.27804200000003</v>
          </cell>
          <cell r="K8">
            <v>4983.2827980000002</v>
          </cell>
          <cell r="L8">
            <v>0.5</v>
          </cell>
          <cell r="M8">
            <v>118.03</v>
          </cell>
          <cell r="N8">
            <v>2242.5700000000002</v>
          </cell>
          <cell r="O8">
            <v>0.54998138959722753</v>
          </cell>
          <cell r="P8">
            <v>0.55000000000000004</v>
          </cell>
          <cell r="Q8">
            <v>106.22</v>
          </cell>
        </row>
        <row r="9">
          <cell r="F9" t="str">
            <v>ESPECIALIZAÇÃO EM GESTÃO DA EDUCAÇÃO</v>
          </cell>
          <cell r="G9" t="str">
            <v>Educação</v>
          </cell>
          <cell r="H9">
            <v>12</v>
          </cell>
          <cell r="I9">
            <v>19</v>
          </cell>
          <cell r="J9">
            <v>262.27804200000003</v>
          </cell>
          <cell r="K9">
            <v>4983.2827980000002</v>
          </cell>
          <cell r="L9">
            <v>0.5</v>
          </cell>
          <cell r="M9">
            <v>118.03</v>
          </cell>
          <cell r="N9">
            <v>2242.5700000000002</v>
          </cell>
          <cell r="O9">
            <v>0.54998138959722753</v>
          </cell>
          <cell r="P9">
            <v>0.55000000000000004</v>
          </cell>
          <cell r="Q9">
            <v>106.22</v>
          </cell>
        </row>
        <row r="10">
          <cell r="F10" t="str">
            <v>ESPECIALIZAÇÃO EM NUTRIÇÃO ESPORTIVA</v>
          </cell>
          <cell r="G10" t="str">
            <v>Saúde</v>
          </cell>
          <cell r="H10">
            <v>12</v>
          </cell>
          <cell r="I10">
            <v>19</v>
          </cell>
          <cell r="J10">
            <v>291.43870800000002</v>
          </cell>
          <cell r="K10">
            <v>5537.3354520000003</v>
          </cell>
          <cell r="L10">
            <v>0.4</v>
          </cell>
          <cell r="M10">
            <v>157.38</v>
          </cell>
          <cell r="N10">
            <v>2990.22</v>
          </cell>
          <cell r="O10">
            <v>0.45998937107558135</v>
          </cell>
          <cell r="P10">
            <v>0.45</v>
          </cell>
          <cell r="Q10">
            <v>144.26</v>
          </cell>
        </row>
        <row r="11">
          <cell r="F11" t="str">
            <v>ESPECIALIZAÇÃO EM PSICOPEDAGOGIA ESCOLAR</v>
          </cell>
          <cell r="G11" t="str">
            <v>Educação</v>
          </cell>
          <cell r="H11">
            <v>12</v>
          </cell>
          <cell r="I11">
            <v>19</v>
          </cell>
          <cell r="J11">
            <v>262.27804200000003</v>
          </cell>
          <cell r="K11">
            <v>4983.2827980000002</v>
          </cell>
          <cell r="L11">
            <v>0.3</v>
          </cell>
          <cell r="M11">
            <v>165.24</v>
          </cell>
          <cell r="N11">
            <v>3139.5600000000004</v>
          </cell>
          <cell r="O11">
            <v>0.36998157093150785</v>
          </cell>
          <cell r="P11">
            <v>0.35</v>
          </cell>
          <cell r="Q11">
            <v>153.43</v>
          </cell>
        </row>
        <row r="12">
          <cell r="F12" t="str">
            <v>MBA EM GESTÃO DE PESSOAS</v>
          </cell>
          <cell r="G12" t="str">
            <v>Gestão</v>
          </cell>
          <cell r="H12">
            <v>15</v>
          </cell>
          <cell r="I12">
            <v>19</v>
          </cell>
          <cell r="J12">
            <v>320.59937400000007</v>
          </cell>
          <cell r="K12">
            <v>6091.3881060000012</v>
          </cell>
          <cell r="L12">
            <v>0.5</v>
          </cell>
          <cell r="M12">
            <v>144.27000000000001</v>
          </cell>
          <cell r="N12">
            <v>2741.13</v>
          </cell>
          <cell r="O12">
            <v>0.54999912133328133</v>
          </cell>
          <cell r="P12">
            <v>0.55000000000000004</v>
          </cell>
          <cell r="Q12">
            <v>129.84</v>
          </cell>
        </row>
        <row r="13">
          <cell r="F13" t="str">
            <v>MBA EM GESTÃO EMPRESARIAL</v>
          </cell>
          <cell r="G13" t="str">
            <v>Gestão</v>
          </cell>
          <cell r="H13">
            <v>15</v>
          </cell>
          <cell r="I13">
            <v>19</v>
          </cell>
          <cell r="J13">
            <v>320.59937400000007</v>
          </cell>
          <cell r="K13">
            <v>6091.3881060000012</v>
          </cell>
          <cell r="L13">
            <v>0.3</v>
          </cell>
          <cell r="M13">
            <v>201.98</v>
          </cell>
          <cell r="N13">
            <v>3837.62</v>
          </cell>
          <cell r="O13">
            <v>0.36999253155123146</v>
          </cell>
          <cell r="P13">
            <v>0.35</v>
          </cell>
          <cell r="Q13">
            <v>187.55</v>
          </cell>
        </row>
        <row r="14">
          <cell r="F14" t="str">
            <v>ESPECIALIZAÇÃO EM FARMÁCIA CLÍNICA E ATENÇÃO FARMACÊUTICA</v>
          </cell>
          <cell r="G14" t="str">
            <v>Saúde</v>
          </cell>
          <cell r="H14">
            <v>12</v>
          </cell>
          <cell r="I14">
            <v>19</v>
          </cell>
          <cell r="J14">
            <v>291.43870800000002</v>
          </cell>
          <cell r="K14">
            <v>5537.3354520000003</v>
          </cell>
          <cell r="L14">
            <v>0.5</v>
          </cell>
          <cell r="M14">
            <v>131.15</v>
          </cell>
          <cell r="N14">
            <v>2491.85</v>
          </cell>
          <cell r="O14">
            <v>0.54999114256298443</v>
          </cell>
          <cell r="P14">
            <v>0.55000000000000004</v>
          </cell>
          <cell r="Q14">
            <v>118.03</v>
          </cell>
        </row>
        <row r="15">
          <cell r="F15" t="str">
            <v>ESPECIALIZAÇÃO EM NEUROEDUCAÇÃO</v>
          </cell>
          <cell r="G15" t="str">
            <v>Educação</v>
          </cell>
          <cell r="H15">
            <v>12</v>
          </cell>
          <cell r="I15">
            <v>19</v>
          </cell>
          <cell r="J15">
            <v>262.27804200000003</v>
          </cell>
          <cell r="K15">
            <v>4983.2827980000002</v>
          </cell>
          <cell r="L15">
            <v>0.3</v>
          </cell>
          <cell r="M15">
            <v>165.24</v>
          </cell>
          <cell r="N15">
            <v>3139.5600000000004</v>
          </cell>
          <cell r="O15">
            <v>0.36998157093150785</v>
          </cell>
          <cell r="P15">
            <v>0.35</v>
          </cell>
          <cell r="Q15">
            <v>153.43</v>
          </cell>
        </row>
        <row r="16">
          <cell r="F16" t="str">
            <v>MBA EM LOGÍSTICA EMPRESARIAL</v>
          </cell>
          <cell r="G16" t="str">
            <v>Gestão</v>
          </cell>
          <cell r="H16">
            <v>18</v>
          </cell>
          <cell r="I16">
            <v>19</v>
          </cell>
          <cell r="J16">
            <v>320.59937400000007</v>
          </cell>
          <cell r="K16">
            <v>6091.3881060000012</v>
          </cell>
          <cell r="L16">
            <v>0.3</v>
          </cell>
          <cell r="M16">
            <v>201.98</v>
          </cell>
          <cell r="N16">
            <v>3837.62</v>
          </cell>
          <cell r="O16">
            <v>0.36999253155123146</v>
          </cell>
          <cell r="P16">
            <v>0.35</v>
          </cell>
          <cell r="Q16">
            <v>187.55</v>
          </cell>
        </row>
        <row r="17">
          <cell r="F17" t="str">
            <v>MBA EM GERENCIAMENTO DE PROJETOS</v>
          </cell>
          <cell r="G17" t="str">
            <v>Gestão</v>
          </cell>
          <cell r="H17">
            <v>15</v>
          </cell>
          <cell r="I17">
            <v>19</v>
          </cell>
          <cell r="J17">
            <v>320.59937400000007</v>
          </cell>
          <cell r="K17">
            <v>6091.3881060000012</v>
          </cell>
          <cell r="L17">
            <v>0.3</v>
          </cell>
          <cell r="M17">
            <v>201.98</v>
          </cell>
          <cell r="N17">
            <v>3837.62</v>
          </cell>
          <cell r="O17">
            <v>0.36999253155123146</v>
          </cell>
          <cell r="P17">
            <v>0.35</v>
          </cell>
          <cell r="Q17">
            <v>187.55</v>
          </cell>
        </row>
        <row r="18">
          <cell r="F18" t="str">
            <v>MBA EM AUDITORIA E CONTROLADORIA</v>
          </cell>
          <cell r="G18" t="str">
            <v>Gestão</v>
          </cell>
          <cell r="H18">
            <v>15</v>
          </cell>
          <cell r="I18">
            <v>19</v>
          </cell>
          <cell r="J18">
            <v>320.59937400000007</v>
          </cell>
          <cell r="K18">
            <v>6091.3881060000012</v>
          </cell>
          <cell r="L18">
            <v>0.5</v>
          </cell>
          <cell r="M18">
            <v>144.27000000000001</v>
          </cell>
          <cell r="N18">
            <v>2741.13</v>
          </cell>
          <cell r="O18">
            <v>0.54999912133328133</v>
          </cell>
          <cell r="P18">
            <v>0.55000000000000004</v>
          </cell>
          <cell r="Q18">
            <v>129.84</v>
          </cell>
        </row>
        <row r="19">
          <cell r="F19" t="str">
            <v>ESPECIALIZAÇÃO EM ENFERMAGEM EM UNIDADE DE TERAPIA INTENSIVA</v>
          </cell>
          <cell r="G19" t="str">
            <v>Saúde</v>
          </cell>
          <cell r="H19">
            <v>12</v>
          </cell>
          <cell r="I19">
            <v>19</v>
          </cell>
          <cell r="J19">
            <v>291.43870800000002</v>
          </cell>
          <cell r="K19">
            <v>5537.3354520000003</v>
          </cell>
          <cell r="L19">
            <v>0.5</v>
          </cell>
          <cell r="M19">
            <v>131.15</v>
          </cell>
          <cell r="N19">
            <v>2491.85</v>
          </cell>
          <cell r="O19">
            <v>0.54999114256298443</v>
          </cell>
          <cell r="P19">
            <v>0.55000000000000004</v>
          </cell>
          <cell r="Q19">
            <v>118.03</v>
          </cell>
        </row>
        <row r="20">
          <cell r="F20" t="str">
            <v>ESPECIALIZAÇÃO EM FISIOTERAPIA TRAUMATO-ORTOPÉDICA E DESPORTIVA</v>
          </cell>
          <cell r="G20" t="str">
            <v>Saúde</v>
          </cell>
          <cell r="H20">
            <v>12</v>
          </cell>
          <cell r="I20">
            <v>19</v>
          </cell>
          <cell r="J20">
            <v>291.43870800000002</v>
          </cell>
          <cell r="K20">
            <v>5537.3354520000003</v>
          </cell>
          <cell r="L20">
            <v>0.5</v>
          </cell>
          <cell r="M20">
            <v>131.15</v>
          </cell>
          <cell r="N20">
            <v>2491.85</v>
          </cell>
          <cell r="O20">
            <v>0.54999114256298443</v>
          </cell>
          <cell r="P20">
            <v>0.55000000000000004</v>
          </cell>
          <cell r="Q20">
            <v>118.03</v>
          </cell>
        </row>
        <row r="21">
          <cell r="F21" t="str">
            <v>ESPECIALIZAÇÃO EM NUTRIÇÃO CLÍNICA</v>
          </cell>
          <cell r="G21" t="str">
            <v>Saúde</v>
          </cell>
          <cell r="H21">
            <v>12</v>
          </cell>
          <cell r="I21">
            <v>19</v>
          </cell>
          <cell r="J21">
            <v>291.43870800000002</v>
          </cell>
          <cell r="K21">
            <v>5537.3354520000003</v>
          </cell>
          <cell r="L21">
            <v>0.5</v>
          </cell>
          <cell r="M21">
            <v>131.15</v>
          </cell>
          <cell r="N21">
            <v>2491.85</v>
          </cell>
          <cell r="O21">
            <v>0.54999114256298443</v>
          </cell>
          <cell r="P21">
            <v>0.55000000000000004</v>
          </cell>
          <cell r="Q21">
            <v>118.03</v>
          </cell>
        </row>
        <row r="22">
          <cell r="F22" t="str">
            <v>ESPECIALIZAÇÃO EM PSICOLOGIA ORGANIZACIONAL E DO TRABALHO</v>
          </cell>
          <cell r="G22" t="str">
            <v>Saúde</v>
          </cell>
          <cell r="H22">
            <v>12</v>
          </cell>
          <cell r="I22">
            <v>19</v>
          </cell>
          <cell r="J22">
            <v>291.43870800000002</v>
          </cell>
          <cell r="K22">
            <v>5537.3354520000003</v>
          </cell>
          <cell r="L22">
            <v>0.5</v>
          </cell>
          <cell r="M22">
            <v>131.15</v>
          </cell>
          <cell r="N22">
            <v>2491.85</v>
          </cell>
          <cell r="O22">
            <v>0.54999114256298443</v>
          </cell>
          <cell r="P22">
            <v>0.55000000000000004</v>
          </cell>
          <cell r="Q22">
            <v>118.03</v>
          </cell>
        </row>
        <row r="23">
          <cell r="F23" t="str">
            <v>ESPECIALIZAÇÃO EM SAÚDE MENTAL E TERAPIAS COGNITIVAS</v>
          </cell>
          <cell r="G23" t="str">
            <v>Saúde</v>
          </cell>
          <cell r="H23">
            <v>12</v>
          </cell>
          <cell r="I23">
            <v>19</v>
          </cell>
          <cell r="J23">
            <v>291.43870800000002</v>
          </cell>
          <cell r="K23">
            <v>5537.3354520000003</v>
          </cell>
          <cell r="L23">
            <v>0.5</v>
          </cell>
          <cell r="M23">
            <v>131.15</v>
          </cell>
          <cell r="N23">
            <v>2491.85</v>
          </cell>
          <cell r="O23">
            <v>0.54999114256298443</v>
          </cell>
          <cell r="P23">
            <v>0.55000000000000004</v>
          </cell>
          <cell r="Q23">
            <v>118.03</v>
          </cell>
        </row>
        <row r="24">
          <cell r="F24" t="str">
            <v>ESPECIALIZAÇÃO EM SAÚDE PÚBLICA COM ÊNFASE EM ATENÇÃO BÁSICA</v>
          </cell>
          <cell r="G24" t="str">
            <v>Saúde</v>
          </cell>
          <cell r="H24">
            <v>12</v>
          </cell>
          <cell r="I24">
            <v>19</v>
          </cell>
          <cell r="J24">
            <v>291.43870800000002</v>
          </cell>
          <cell r="K24">
            <v>5537.3354520000003</v>
          </cell>
          <cell r="L24">
            <v>0.5</v>
          </cell>
          <cell r="M24">
            <v>131.15</v>
          </cell>
          <cell r="N24">
            <v>2491.85</v>
          </cell>
          <cell r="O24">
            <v>0.54999114256298443</v>
          </cell>
          <cell r="P24">
            <v>0.55000000000000004</v>
          </cell>
          <cell r="Q24">
            <v>118.03</v>
          </cell>
        </row>
        <row r="25">
          <cell r="F25" t="str">
            <v>MBA EM GESTÃO HOSPITALAR E SISTEMAS DE SAÚDE</v>
          </cell>
          <cell r="G25" t="str">
            <v>Gestão</v>
          </cell>
          <cell r="H25">
            <v>15</v>
          </cell>
          <cell r="I25">
            <v>19</v>
          </cell>
          <cell r="J25">
            <v>320.59937400000007</v>
          </cell>
          <cell r="K25">
            <v>6091.3881060000012</v>
          </cell>
          <cell r="L25">
            <v>0.5</v>
          </cell>
          <cell r="M25">
            <v>144.27000000000001</v>
          </cell>
          <cell r="N25">
            <v>2741.13</v>
          </cell>
          <cell r="O25">
            <v>0.54999912133328133</v>
          </cell>
          <cell r="P25">
            <v>0.55000000000000004</v>
          </cell>
          <cell r="Q25">
            <v>129.84</v>
          </cell>
        </row>
        <row r="26">
          <cell r="F26" t="str">
            <v>MBA EM EMPREENDEDORISMO E GESTÃO DE NEGÓCIOS</v>
          </cell>
          <cell r="G26" t="str">
            <v>Gestão</v>
          </cell>
          <cell r="H26">
            <v>15</v>
          </cell>
          <cell r="I26">
            <v>19</v>
          </cell>
          <cell r="J26">
            <v>320.59937400000007</v>
          </cell>
          <cell r="K26">
            <v>6091.3881060000012</v>
          </cell>
          <cell r="L26">
            <v>0.3</v>
          </cell>
          <cell r="M26">
            <v>201.98</v>
          </cell>
          <cell r="N26">
            <v>3837.62</v>
          </cell>
          <cell r="O26">
            <v>0.36999253155123146</v>
          </cell>
          <cell r="P26">
            <v>0.35</v>
          </cell>
          <cell r="Q26">
            <v>187.55</v>
          </cell>
        </row>
        <row r="27">
          <cell r="F27" t="str">
            <v>ESPECIALIZAÇÃO EM CIÊNCIAS CRIMINAIS</v>
          </cell>
          <cell r="G27" t="str">
            <v>Direito</v>
          </cell>
          <cell r="H27">
            <v>12</v>
          </cell>
          <cell r="I27">
            <v>19</v>
          </cell>
          <cell r="J27">
            <v>262.27804200000003</v>
          </cell>
          <cell r="K27">
            <v>4983.2827980000002</v>
          </cell>
          <cell r="L27">
            <v>0.3</v>
          </cell>
          <cell r="M27">
            <v>165.24</v>
          </cell>
          <cell r="N27">
            <v>3139.5600000000004</v>
          </cell>
          <cell r="O27">
            <v>0.36998157093150785</v>
          </cell>
          <cell r="P27">
            <v>0.35</v>
          </cell>
          <cell r="Q27">
            <v>153.43</v>
          </cell>
        </row>
        <row r="28">
          <cell r="F28" t="str">
            <v>ESPECIALIZAÇÃO EM DIREITO PENAL E PROCESSO PENAL</v>
          </cell>
          <cell r="G28" t="str">
            <v>Direito</v>
          </cell>
          <cell r="H28">
            <v>12</v>
          </cell>
          <cell r="I28">
            <v>19</v>
          </cell>
          <cell r="J28">
            <v>262.27804200000003</v>
          </cell>
          <cell r="K28">
            <v>4983.2827980000002</v>
          </cell>
          <cell r="L28">
            <v>0.5</v>
          </cell>
          <cell r="M28">
            <v>118.03</v>
          </cell>
          <cell r="N28">
            <v>2242.5700000000002</v>
          </cell>
          <cell r="O28">
            <v>0.54998138959722753</v>
          </cell>
          <cell r="P28">
            <v>0.55000000000000004</v>
          </cell>
          <cell r="Q28">
            <v>106.22</v>
          </cell>
        </row>
        <row r="29">
          <cell r="F29" t="str">
            <v>ESPECIALIZAÇÃO EM DIREITO DO TRABALHO E PREVIDENCIÁRIO</v>
          </cell>
          <cell r="G29" t="str">
            <v>Direito</v>
          </cell>
          <cell r="H29">
            <v>12</v>
          </cell>
          <cell r="I29">
            <v>19</v>
          </cell>
          <cell r="J29">
            <v>262.27804200000003</v>
          </cell>
          <cell r="K29">
            <v>4983.2827980000002</v>
          </cell>
          <cell r="L29">
            <v>0.5</v>
          </cell>
          <cell r="M29">
            <v>118.03</v>
          </cell>
          <cell r="N29">
            <v>2242.5700000000002</v>
          </cell>
          <cell r="O29">
            <v>0.54998138959722753</v>
          </cell>
          <cell r="P29">
            <v>0.55000000000000004</v>
          </cell>
          <cell r="Q29">
            <v>106.22</v>
          </cell>
        </row>
        <row r="30">
          <cell r="F30" t="str">
            <v>ESPECIALIZAÇÃO EM BANCO DE DADOS ORACLE</v>
          </cell>
          <cell r="G30" t="str">
            <v>Tecnologia/Engenharia</v>
          </cell>
          <cell r="H30">
            <v>12</v>
          </cell>
          <cell r="I30">
            <v>19</v>
          </cell>
          <cell r="J30">
            <v>291.43870800000002</v>
          </cell>
          <cell r="K30">
            <v>5537.3354520000003</v>
          </cell>
          <cell r="L30">
            <v>0.5</v>
          </cell>
          <cell r="M30">
            <v>131.15</v>
          </cell>
          <cell r="N30">
            <v>2491.85</v>
          </cell>
          <cell r="O30">
            <v>0.54999114256298443</v>
          </cell>
          <cell r="P30">
            <v>0.55000000000000004</v>
          </cell>
          <cell r="Q30">
            <v>118.03</v>
          </cell>
        </row>
        <row r="31">
          <cell r="F31" t="str">
            <v>ESPECIALIZAÇÃO EM GESTÃO DE DEPARTAMENTO PESSOAL E LEGISLAÇÃO TRABALHISTA</v>
          </cell>
          <cell r="G31" t="str">
            <v>Gestão</v>
          </cell>
          <cell r="H31">
            <v>15</v>
          </cell>
          <cell r="I31">
            <v>19</v>
          </cell>
          <cell r="J31">
            <v>320.59937400000007</v>
          </cell>
          <cell r="K31">
            <v>6091.3881060000012</v>
          </cell>
          <cell r="L31">
            <v>0.3</v>
          </cell>
          <cell r="M31">
            <v>201.98</v>
          </cell>
          <cell r="N31">
            <v>3837.62</v>
          </cell>
          <cell r="O31">
            <v>0.36999253155123146</v>
          </cell>
          <cell r="P31">
            <v>0.35</v>
          </cell>
          <cell r="Q31">
            <v>187.55</v>
          </cell>
        </row>
        <row r="32">
          <cell r="F32" t="str">
            <v>ESPECIALIZAÇÃO EM LIBRAS, SAÚDE E EDUCAÇÃO ESPECIAL E INCLUSIVA</v>
          </cell>
          <cell r="G32" t="str">
            <v>Educação</v>
          </cell>
          <cell r="H32">
            <v>12</v>
          </cell>
          <cell r="I32">
            <v>19</v>
          </cell>
          <cell r="J32">
            <v>262.27804200000003</v>
          </cell>
          <cell r="K32">
            <v>4983.2827980000002</v>
          </cell>
          <cell r="L32">
            <v>0.4</v>
          </cell>
          <cell r="M32">
            <v>141.63</v>
          </cell>
          <cell r="N32">
            <v>2690.97</v>
          </cell>
          <cell r="O32">
            <v>0.46000054400284118</v>
          </cell>
          <cell r="P32">
            <v>0.45</v>
          </cell>
          <cell r="Q32">
            <v>129.83000000000001</v>
          </cell>
        </row>
        <row r="33">
          <cell r="F33" t="str">
            <v>ESPECIALIZAÇÃO EM ENFERMAGEM EM URGÊNCIA E EMERGÊNCIA</v>
          </cell>
          <cell r="G33" t="str">
            <v>Saúde</v>
          </cell>
          <cell r="H33">
            <v>12</v>
          </cell>
          <cell r="I33">
            <v>19</v>
          </cell>
          <cell r="J33">
            <v>291.43870800000002</v>
          </cell>
          <cell r="K33">
            <v>5537.3354520000003</v>
          </cell>
          <cell r="L33">
            <v>0.5</v>
          </cell>
          <cell r="M33">
            <v>131.15</v>
          </cell>
          <cell r="N33">
            <v>2491.85</v>
          </cell>
          <cell r="O33">
            <v>0.54999114256298443</v>
          </cell>
          <cell r="P33">
            <v>0.55000000000000004</v>
          </cell>
          <cell r="Q33">
            <v>118.03</v>
          </cell>
        </row>
        <row r="34">
          <cell r="F34" t="str">
            <v>MBA EM GESTÃO TRIBUTÁRIA</v>
          </cell>
          <cell r="G34" t="str">
            <v>Gestão</v>
          </cell>
          <cell r="H34">
            <v>15</v>
          </cell>
          <cell r="I34">
            <v>19</v>
          </cell>
          <cell r="J34">
            <v>320.59937400000007</v>
          </cell>
          <cell r="K34">
            <v>6091.3881060000012</v>
          </cell>
          <cell r="L34">
            <v>0.5</v>
          </cell>
          <cell r="M34">
            <v>144.27000000000001</v>
          </cell>
          <cell r="N34">
            <v>2741.13</v>
          </cell>
          <cell r="O34">
            <v>0.54999912133328133</v>
          </cell>
          <cell r="P34">
            <v>0.55000000000000004</v>
          </cell>
          <cell r="Q34">
            <v>129.84</v>
          </cell>
        </row>
        <row r="35">
          <cell r="F35" t="str">
            <v>ESPECIALIZAÇÃO EM PSICOPEDAGOGIA CLÍNICA, INSTITUCIONAL E HOSPITALAR</v>
          </cell>
          <cell r="G35" t="str">
            <v>Educação</v>
          </cell>
          <cell r="H35">
            <v>18</v>
          </cell>
          <cell r="I35">
            <v>19</v>
          </cell>
          <cell r="J35">
            <v>419.73304200000007</v>
          </cell>
          <cell r="K35">
            <v>7974.9277980000015</v>
          </cell>
          <cell r="L35">
            <v>0.5</v>
          </cell>
          <cell r="M35">
            <v>188.88</v>
          </cell>
          <cell r="N35">
            <v>3588.72</v>
          </cell>
          <cell r="O35">
            <v>0.54999968765861429</v>
          </cell>
          <cell r="P35">
            <v>0.55000000000000004</v>
          </cell>
          <cell r="Q35">
            <v>169.99</v>
          </cell>
        </row>
        <row r="36">
          <cell r="F36" t="str">
            <v>ESPECIALIZAÇÃO EM GESTÃO TRIBUTÁRIA, TRABALHISTA E PREVIDENCIÁRIA</v>
          </cell>
          <cell r="G36" t="str">
            <v>Gestão</v>
          </cell>
          <cell r="H36">
            <v>15</v>
          </cell>
          <cell r="I36">
            <v>19</v>
          </cell>
          <cell r="J36">
            <v>320.59937400000007</v>
          </cell>
          <cell r="K36">
            <v>6091.3881060000012</v>
          </cell>
          <cell r="L36">
            <v>0.5</v>
          </cell>
          <cell r="M36">
            <v>144.27000000000001</v>
          </cell>
          <cell r="N36">
            <v>2741.13</v>
          </cell>
          <cell r="O36">
            <v>0.54999912133328133</v>
          </cell>
          <cell r="P36">
            <v>0.55000000000000004</v>
          </cell>
          <cell r="Q36">
            <v>129.84</v>
          </cell>
        </row>
        <row r="37">
          <cell r="F37" t="str">
            <v>MBA EM GESTÃO DA QUALIDADE EM SAÚDE</v>
          </cell>
          <cell r="G37" t="str">
            <v>Gestão</v>
          </cell>
          <cell r="H37">
            <v>15</v>
          </cell>
          <cell r="I37">
            <v>19</v>
          </cell>
          <cell r="J37">
            <v>320.59937400000007</v>
          </cell>
          <cell r="K37">
            <v>6091.3881060000012</v>
          </cell>
          <cell r="L37">
            <v>0.3</v>
          </cell>
          <cell r="M37">
            <v>201.98</v>
          </cell>
          <cell r="N37">
            <v>3837.62</v>
          </cell>
          <cell r="O37">
            <v>0.36999253155123146</v>
          </cell>
          <cell r="P37">
            <v>0.35</v>
          </cell>
          <cell r="Q37">
            <v>187.55</v>
          </cell>
        </row>
        <row r="38">
          <cell r="F38" t="str">
            <v>ESPECIALIZAÇÃO EM REMUNERAÇÃO ESTRATÉGICA</v>
          </cell>
          <cell r="G38" t="str">
            <v>Gestão</v>
          </cell>
          <cell r="H38">
            <v>15</v>
          </cell>
          <cell r="I38">
            <v>19</v>
          </cell>
          <cell r="J38">
            <v>728.81720700000005</v>
          </cell>
          <cell r="K38">
            <v>13847.526933000001</v>
          </cell>
          <cell r="L38">
            <v>0</v>
          </cell>
          <cell r="M38">
            <v>655.94</v>
          </cell>
          <cell r="N38">
            <v>12462.86</v>
          </cell>
          <cell r="O38">
            <v>9.9993806814717479E-2</v>
          </cell>
          <cell r="P38">
            <v>0</v>
          </cell>
          <cell r="Q38">
            <v>655.94</v>
          </cell>
        </row>
        <row r="39">
          <cell r="F39" t="str">
            <v>ESPECIALIZAÇÃO EM COMERCIALIZAÇÃO DE ENERGIA ELÉTRICA</v>
          </cell>
          <cell r="G39" t="str">
            <v>Gestão</v>
          </cell>
          <cell r="H39">
            <v>12</v>
          </cell>
          <cell r="I39">
            <v>19</v>
          </cell>
          <cell r="J39">
            <v>524.85</v>
          </cell>
          <cell r="K39">
            <v>9972.15</v>
          </cell>
          <cell r="L39">
            <v>0.5</v>
          </cell>
          <cell r="M39">
            <v>236.18</v>
          </cell>
          <cell r="N39">
            <v>4487.42</v>
          </cell>
          <cell r="O39">
            <v>0.55000476326569503</v>
          </cell>
          <cell r="P39">
            <v>0.55000000000000004</v>
          </cell>
          <cell r="Q39">
            <v>212.56</v>
          </cell>
        </row>
        <row r="40">
          <cell r="F40" t="str">
            <v>MBA EM GESTÃO DE RISCOS, COMPLIANCE E LGPD</v>
          </cell>
          <cell r="G40" t="str">
            <v>Gestão</v>
          </cell>
          <cell r="H40">
            <v>15</v>
          </cell>
          <cell r="I40">
            <v>19</v>
          </cell>
          <cell r="J40">
            <v>320.59937400000007</v>
          </cell>
          <cell r="K40">
            <v>6091.3881060000012</v>
          </cell>
          <cell r="L40">
            <v>0.3</v>
          </cell>
          <cell r="M40">
            <v>201.98</v>
          </cell>
          <cell r="N40">
            <v>3837.62</v>
          </cell>
          <cell r="O40">
            <v>0.36999253155123146</v>
          </cell>
          <cell r="P40">
            <v>0.35</v>
          </cell>
          <cell r="Q40">
            <v>187.55</v>
          </cell>
        </row>
        <row r="41">
          <cell r="F41" t="str">
            <v>MBA EM INOVAÇÃO, DESIGN E ESTRATÉGIA</v>
          </cell>
          <cell r="G41" t="str">
            <v>Gestão</v>
          </cell>
          <cell r="H41">
            <v>15</v>
          </cell>
          <cell r="I41">
            <v>19</v>
          </cell>
          <cell r="J41">
            <v>320.59937400000007</v>
          </cell>
          <cell r="K41">
            <v>6091.3881060000012</v>
          </cell>
          <cell r="L41">
            <v>0.4</v>
          </cell>
          <cell r="M41">
            <v>173.12</v>
          </cell>
          <cell r="N41">
            <v>3289.28</v>
          </cell>
          <cell r="O41">
            <v>0.46001142223066238</v>
          </cell>
          <cell r="P41">
            <v>0.45</v>
          </cell>
          <cell r="Q41">
            <v>158.69999999999999</v>
          </cell>
        </row>
        <row r="42">
          <cell r="F42" t="str">
            <v>MBA EM GESTÃO EXECUTIVA DE VENDAS 5.0</v>
          </cell>
          <cell r="G42" t="str">
            <v>Gestão</v>
          </cell>
          <cell r="H42">
            <v>15</v>
          </cell>
          <cell r="I42">
            <v>19</v>
          </cell>
          <cell r="J42">
            <v>320.59937400000007</v>
          </cell>
          <cell r="K42">
            <v>6091.3881060000012</v>
          </cell>
          <cell r="L42">
            <v>0.5</v>
          </cell>
          <cell r="M42">
            <v>144.27000000000001</v>
          </cell>
          <cell r="N42">
            <v>2741.13</v>
          </cell>
          <cell r="O42">
            <v>0.54999912133328133</v>
          </cell>
          <cell r="P42">
            <v>0.55000000000000004</v>
          </cell>
          <cell r="Q42">
            <v>129.84</v>
          </cell>
        </row>
        <row r="43">
          <cell r="F43" t="str">
            <v>MBA EM INDÚSTRIA 5.0</v>
          </cell>
          <cell r="G43" t="str">
            <v>Gestão</v>
          </cell>
          <cell r="H43">
            <v>15</v>
          </cell>
          <cell r="I43">
            <v>19</v>
          </cell>
          <cell r="J43">
            <v>320.59937400000007</v>
          </cell>
          <cell r="K43">
            <v>6091.3881060000012</v>
          </cell>
          <cell r="L43">
            <v>0.4</v>
          </cell>
          <cell r="M43">
            <v>173.12</v>
          </cell>
          <cell r="N43">
            <v>3289.28</v>
          </cell>
          <cell r="O43">
            <v>0.46001142223066238</v>
          </cell>
          <cell r="P43">
            <v>0.45</v>
          </cell>
          <cell r="Q43">
            <v>158.69999999999999</v>
          </cell>
        </row>
        <row r="44">
          <cell r="F44" t="str">
            <v>ESPECIALIZAÇÃO EM COACHING E DESENVOLVIMENTO DE LIDERANÇAS</v>
          </cell>
          <cell r="G44" t="str">
            <v>Gestão</v>
          </cell>
          <cell r="H44">
            <v>12</v>
          </cell>
          <cell r="I44">
            <v>19</v>
          </cell>
          <cell r="J44">
            <v>320.59937400000007</v>
          </cell>
          <cell r="K44">
            <v>6091.3881060000012</v>
          </cell>
          <cell r="L44">
            <v>0.3</v>
          </cell>
          <cell r="M44">
            <v>201.98</v>
          </cell>
          <cell r="N44">
            <v>3837.62</v>
          </cell>
          <cell r="O44">
            <v>0.36999253155123146</v>
          </cell>
          <cell r="P44">
            <v>0.35</v>
          </cell>
          <cell r="Q44">
            <v>187.55</v>
          </cell>
        </row>
        <row r="45">
          <cell r="F45" t="str">
            <v>ESPECIALIZAÇÃO EM FISIOTERAPIA DERMATOFUNCIONAL</v>
          </cell>
          <cell r="G45" t="str">
            <v>Saúde</v>
          </cell>
          <cell r="H45">
            <v>12</v>
          </cell>
          <cell r="I45">
            <v>19</v>
          </cell>
          <cell r="J45">
            <v>291.43870800000002</v>
          </cell>
          <cell r="K45">
            <v>5537.3354520000003</v>
          </cell>
          <cell r="L45">
            <v>0.4</v>
          </cell>
          <cell r="M45">
            <v>157.38</v>
          </cell>
          <cell r="N45">
            <v>2990.22</v>
          </cell>
          <cell r="O45">
            <v>0.45998937107558135</v>
          </cell>
          <cell r="P45">
            <v>0.45</v>
          </cell>
          <cell r="Q45">
            <v>144.26</v>
          </cell>
        </row>
        <row r="46">
          <cell r="F46" t="str">
            <v>ESPECIALIZAÇÃO EM FISIOTERAPIA EM UNIDADE DE TERAPIA INTENSIVA</v>
          </cell>
          <cell r="G46" t="str">
            <v>Saúde</v>
          </cell>
          <cell r="H46">
            <v>12</v>
          </cell>
          <cell r="I46">
            <v>19</v>
          </cell>
          <cell r="J46">
            <v>291.43870800000002</v>
          </cell>
          <cell r="K46">
            <v>5537.3354520000003</v>
          </cell>
          <cell r="L46">
            <v>0.3</v>
          </cell>
          <cell r="M46">
            <v>183.61</v>
          </cell>
          <cell r="N46">
            <v>3488.59</v>
          </cell>
          <cell r="O46">
            <v>0.36998759958817828</v>
          </cell>
          <cell r="P46">
            <v>0.35</v>
          </cell>
          <cell r="Q46">
            <v>170.49</v>
          </cell>
        </row>
        <row r="47">
          <cell r="F47" t="str">
            <v>ESPECIALIZAÇÃO EM ANÁLISES CLÍNICAS E DIAGNÓSTICO LABORATORIAL</v>
          </cell>
          <cell r="G47" t="str">
            <v>Saúde</v>
          </cell>
          <cell r="H47">
            <v>12</v>
          </cell>
          <cell r="I47">
            <v>19</v>
          </cell>
          <cell r="J47">
            <v>291.43870800000002</v>
          </cell>
          <cell r="K47">
            <v>5537.3354520000003</v>
          </cell>
          <cell r="L47">
            <v>0.5</v>
          </cell>
          <cell r="M47">
            <v>131.15</v>
          </cell>
          <cell r="N47">
            <v>2491.85</v>
          </cell>
          <cell r="O47">
            <v>0.54999114256298443</v>
          </cell>
          <cell r="P47">
            <v>0.55000000000000004</v>
          </cell>
          <cell r="Q47">
            <v>118.03</v>
          </cell>
        </row>
        <row r="48">
          <cell r="F48" t="str">
            <v>ESPECIALIZAÇÃO EM NEUROCIÊNCIAS E COMPORTAMENTO HUMANO</v>
          </cell>
          <cell r="G48" t="str">
            <v>Saúde</v>
          </cell>
          <cell r="H48">
            <v>12</v>
          </cell>
          <cell r="I48">
            <v>19</v>
          </cell>
          <cell r="J48">
            <v>291.43870800000002</v>
          </cell>
          <cell r="K48">
            <v>5537.3354520000003</v>
          </cell>
          <cell r="L48">
            <v>0.5</v>
          </cell>
          <cell r="M48">
            <v>131.15</v>
          </cell>
          <cell r="N48">
            <v>2491.85</v>
          </cell>
          <cell r="O48">
            <v>0.54999114256298443</v>
          </cell>
          <cell r="P48">
            <v>0.55000000000000004</v>
          </cell>
          <cell r="Q48">
            <v>118.03</v>
          </cell>
        </row>
        <row r="49">
          <cell r="F49" t="str">
            <v>MBA EM DATA SCIENCE, ANALYTICS e BI</v>
          </cell>
          <cell r="G49" t="str">
            <v>Tecnologia/Engenharia</v>
          </cell>
          <cell r="H49">
            <v>15</v>
          </cell>
          <cell r="I49">
            <v>19</v>
          </cell>
          <cell r="J49">
            <v>320.59937400000007</v>
          </cell>
          <cell r="K49">
            <v>6091.3881060000012</v>
          </cell>
          <cell r="L49">
            <v>0.4</v>
          </cell>
          <cell r="M49">
            <v>173.12</v>
          </cell>
          <cell r="N49">
            <v>3289.28</v>
          </cell>
          <cell r="O49">
            <v>0.46001142223066238</v>
          </cell>
          <cell r="P49">
            <v>0.45</v>
          </cell>
          <cell r="Q49">
            <v>158.69999999999999</v>
          </cell>
        </row>
        <row r="50">
          <cell r="F50" t="str">
            <v>ESPECIALIZAÇÃO EM SEXOLOGIA E SEXUALIDADE HUMANA</v>
          </cell>
          <cell r="G50" t="str">
            <v>Saúde</v>
          </cell>
          <cell r="H50">
            <v>12</v>
          </cell>
          <cell r="I50">
            <v>19</v>
          </cell>
          <cell r="J50">
            <v>291.43870800000002</v>
          </cell>
          <cell r="K50">
            <v>5537.3354520000003</v>
          </cell>
          <cell r="L50">
            <v>0.5</v>
          </cell>
          <cell r="M50">
            <v>131.15</v>
          </cell>
          <cell r="N50">
            <v>2491.85</v>
          </cell>
          <cell r="O50">
            <v>0.54999114256298443</v>
          </cell>
          <cell r="P50">
            <v>0.55000000000000004</v>
          </cell>
          <cell r="Q50">
            <v>118.03</v>
          </cell>
        </row>
        <row r="51">
          <cell r="F51" t="str">
            <v>ESPECIALIZAÇÃO EM SEGURANÇA DA INFORMAÇÃO</v>
          </cell>
          <cell r="G51" t="str">
            <v>Tecnologia/Engenharia</v>
          </cell>
          <cell r="H51">
            <v>12</v>
          </cell>
          <cell r="I51">
            <v>19</v>
          </cell>
          <cell r="J51">
            <v>291.43870800000002</v>
          </cell>
          <cell r="K51">
            <v>5537.3354520000003</v>
          </cell>
          <cell r="L51">
            <v>0.4</v>
          </cell>
          <cell r="M51">
            <v>157.38</v>
          </cell>
          <cell r="N51">
            <v>2990.22</v>
          </cell>
          <cell r="O51">
            <v>0.45998937107558135</v>
          </cell>
          <cell r="P51">
            <v>0.45</v>
          </cell>
          <cell r="Q51">
            <v>144.26</v>
          </cell>
        </row>
        <row r="52">
          <cell r="F52" t="str">
            <v>ESPECIALIZAÇÃO EM TESTE E QUALIDADE DE SOFTWARE</v>
          </cell>
          <cell r="G52" t="str">
            <v>Tecnologia/Engenharia</v>
          </cell>
          <cell r="H52">
            <v>12</v>
          </cell>
          <cell r="I52">
            <v>19</v>
          </cell>
          <cell r="J52">
            <v>291.43870800000002</v>
          </cell>
          <cell r="K52">
            <v>5537.3354520000003</v>
          </cell>
          <cell r="L52">
            <v>0.3</v>
          </cell>
          <cell r="M52">
            <v>183.61</v>
          </cell>
          <cell r="N52">
            <v>3488.59</v>
          </cell>
          <cell r="O52">
            <v>0.36998759958817828</v>
          </cell>
          <cell r="P52">
            <v>0.35</v>
          </cell>
          <cell r="Q52">
            <v>170.49</v>
          </cell>
        </row>
        <row r="53">
          <cell r="F53" t="str">
            <v>ESPECIALIZAÇÃO EM DIREITO DIGITAL, INOVAÇÃO E STARTUPS</v>
          </cell>
          <cell r="G53" t="str">
            <v>Direito</v>
          </cell>
          <cell r="H53">
            <v>12</v>
          </cell>
          <cell r="I53">
            <v>19</v>
          </cell>
          <cell r="J53">
            <v>262.27804200000003</v>
          </cell>
          <cell r="K53">
            <v>4983.2827980000002</v>
          </cell>
          <cell r="L53">
            <v>0.5</v>
          </cell>
          <cell r="M53">
            <v>118.03</v>
          </cell>
          <cell r="N53">
            <v>2242.5700000000002</v>
          </cell>
          <cell r="O53">
            <v>0.54998138959722753</v>
          </cell>
          <cell r="P53">
            <v>0.55000000000000004</v>
          </cell>
          <cell r="Q53">
            <v>106.22</v>
          </cell>
        </row>
        <row r="54">
          <cell r="F54" t="str">
            <v>ESPECIALIZAÇÃO EM DIREITO LICITATÓRIO E CONTRATAÇÕES PÚBLICAS</v>
          </cell>
          <cell r="G54" t="str">
            <v>Direito</v>
          </cell>
          <cell r="H54">
            <v>12</v>
          </cell>
          <cell r="I54">
            <v>19</v>
          </cell>
          <cell r="J54">
            <v>262.27804200000003</v>
          </cell>
          <cell r="K54">
            <v>4983.2827980000002</v>
          </cell>
          <cell r="L54">
            <v>0.3</v>
          </cell>
          <cell r="M54">
            <v>165.24</v>
          </cell>
          <cell r="N54">
            <v>3139.5600000000004</v>
          </cell>
          <cell r="O54">
            <v>0.36998157093150785</v>
          </cell>
          <cell r="P54">
            <v>0.35</v>
          </cell>
          <cell r="Q54">
            <v>153.43</v>
          </cell>
        </row>
        <row r="55">
          <cell r="F55" t="str">
            <v>ESPECIALIZAÇÃO EM DIREITO PROCESSUAL: ADMIN., CONSTITUCIONAL, CIVIL, PENAL, TRABALHISTA E TRIBUTÁRIO</v>
          </cell>
          <cell r="G55" t="str">
            <v>Direito</v>
          </cell>
          <cell r="H55">
            <v>12</v>
          </cell>
          <cell r="I55">
            <v>19</v>
          </cell>
          <cell r="J55">
            <v>262.27804200000003</v>
          </cell>
          <cell r="K55">
            <v>4983.2827980000002</v>
          </cell>
          <cell r="L55">
            <v>0.5</v>
          </cell>
          <cell r="M55">
            <v>118.03</v>
          </cell>
          <cell r="N55">
            <v>2242.5700000000002</v>
          </cell>
          <cell r="O55">
            <v>0.54998138959722753</v>
          </cell>
          <cell r="P55">
            <v>0.55000000000000004</v>
          </cell>
          <cell r="Q55">
            <v>106.22</v>
          </cell>
        </row>
        <row r="56">
          <cell r="F56" t="str">
            <v>ESPECIALIZAÇÃO EM DIREITO PÚBLICO: CONSTITUCIONAL, ADMINISTRATIVO E TRIBUTÁRIO</v>
          </cell>
          <cell r="G56" t="str">
            <v>Direito</v>
          </cell>
          <cell r="H56">
            <v>12</v>
          </cell>
          <cell r="I56">
            <v>19</v>
          </cell>
          <cell r="J56">
            <v>262.27804200000003</v>
          </cell>
          <cell r="K56">
            <v>4983.2827980000002</v>
          </cell>
          <cell r="L56">
            <v>0.4</v>
          </cell>
          <cell r="M56">
            <v>141.63</v>
          </cell>
          <cell r="N56">
            <v>2690.97</v>
          </cell>
          <cell r="O56">
            <v>0.46000054400284118</v>
          </cell>
          <cell r="P56">
            <v>0.45</v>
          </cell>
          <cell r="Q56">
            <v>129.83000000000001</v>
          </cell>
        </row>
        <row r="57">
          <cell r="F57" t="str">
            <v>ESPECIALIZAÇÃO EM DIREITO PÚBLICO COM ÊNFASE EM CONSTITUCIONAL E ADMINISTRATIVO</v>
          </cell>
          <cell r="G57" t="str">
            <v>Direito</v>
          </cell>
          <cell r="H57">
            <v>12</v>
          </cell>
          <cell r="I57">
            <v>19</v>
          </cell>
          <cell r="J57">
            <v>262.27804200000003</v>
          </cell>
          <cell r="K57">
            <v>4983.2827980000002</v>
          </cell>
          <cell r="L57">
            <v>0.5</v>
          </cell>
          <cell r="M57">
            <v>118.03</v>
          </cell>
          <cell r="N57">
            <v>2242.5700000000002</v>
          </cell>
          <cell r="O57">
            <v>0.54998138959722753</v>
          </cell>
          <cell r="P57">
            <v>0.55000000000000004</v>
          </cell>
          <cell r="Q57">
            <v>106.22</v>
          </cell>
        </row>
        <row r="58">
          <cell r="F58" t="str">
            <v>ESPECIALIZAÇÃO EM NEUROMARKETING &amp; CIÊNCIA DO CONSUMO</v>
          </cell>
          <cell r="G58" t="str">
            <v>Comunicação</v>
          </cell>
          <cell r="H58">
            <v>12</v>
          </cell>
          <cell r="I58">
            <v>19</v>
          </cell>
          <cell r="J58">
            <v>291.43870800000002</v>
          </cell>
          <cell r="K58">
            <v>5537.3354520000003</v>
          </cell>
          <cell r="L58">
            <v>0.5</v>
          </cell>
          <cell r="M58">
            <v>131.15</v>
          </cell>
          <cell r="N58">
            <v>2491.85</v>
          </cell>
          <cell r="O58">
            <v>0.54999114256298443</v>
          </cell>
          <cell r="P58">
            <v>0.55000000000000004</v>
          </cell>
          <cell r="Q58">
            <v>118.03</v>
          </cell>
        </row>
        <row r="59">
          <cell r="F59" t="str">
            <v>ESPECIALIZAÇÃO EM ALFABETIZAÇÃO E LETRAMENTO</v>
          </cell>
          <cell r="G59" t="str">
            <v>Educação</v>
          </cell>
          <cell r="H59">
            <v>12</v>
          </cell>
          <cell r="I59">
            <v>19</v>
          </cell>
          <cell r="J59">
            <v>262.27804200000003</v>
          </cell>
          <cell r="K59">
            <v>4983.2827980000002</v>
          </cell>
          <cell r="L59">
            <v>0.5</v>
          </cell>
          <cell r="M59">
            <v>118.03</v>
          </cell>
          <cell r="N59">
            <v>2242.5700000000002</v>
          </cell>
          <cell r="O59">
            <v>0.54998138959722753</v>
          </cell>
          <cell r="P59">
            <v>0.55000000000000004</v>
          </cell>
          <cell r="Q59">
            <v>106.22</v>
          </cell>
        </row>
        <row r="60">
          <cell r="F60" t="str">
            <v>ESPECIALIZAÇÃO EM TEA – TRANSTORNO DO ESPECTRO AUTISTA</v>
          </cell>
          <cell r="G60" t="str">
            <v>Educação</v>
          </cell>
          <cell r="H60">
            <v>12</v>
          </cell>
          <cell r="I60">
            <v>19</v>
          </cell>
          <cell r="J60">
            <v>262.27804200000003</v>
          </cell>
          <cell r="K60">
            <v>4983.2827980000002</v>
          </cell>
          <cell r="L60">
            <v>0.3</v>
          </cell>
          <cell r="M60">
            <v>165.24</v>
          </cell>
          <cell r="N60">
            <v>3139.5600000000004</v>
          </cell>
          <cell r="O60">
            <v>0.36998157093150785</v>
          </cell>
          <cell r="P60">
            <v>0.35</v>
          </cell>
          <cell r="Q60">
            <v>153.43</v>
          </cell>
        </row>
        <row r="61">
          <cell r="F61" t="str">
            <v>ESPECIALIZAÇÃO EM LINGUÍSTICA E ENSINO DA LÍNGUA PORTUGUESA</v>
          </cell>
          <cell r="G61" t="str">
            <v>Educação</v>
          </cell>
          <cell r="H61">
            <v>12</v>
          </cell>
          <cell r="I61">
            <v>19</v>
          </cell>
          <cell r="J61">
            <v>262.27804200000003</v>
          </cell>
          <cell r="K61">
            <v>4983.2827980000002</v>
          </cell>
          <cell r="L61">
            <v>0.4</v>
          </cell>
          <cell r="M61">
            <v>141.63</v>
          </cell>
          <cell r="N61">
            <v>2690.97</v>
          </cell>
          <cell r="O61">
            <v>0.46000054400284118</v>
          </cell>
          <cell r="P61">
            <v>0.45</v>
          </cell>
          <cell r="Q61">
            <v>129.83000000000001</v>
          </cell>
        </row>
        <row r="62">
          <cell r="F62" t="str">
            <v>ESPECIALIZAÇÃO EM FISIOLOGIA, CINESIOLOGIA E BIOMECÂNICA APLICADAS AO EXERCÍCIO</v>
          </cell>
          <cell r="G62" t="str">
            <v>Saúde</v>
          </cell>
          <cell r="H62">
            <v>12</v>
          </cell>
          <cell r="I62">
            <v>19</v>
          </cell>
          <cell r="J62">
            <v>291.43870800000002</v>
          </cell>
          <cell r="K62">
            <v>5537.3354520000003</v>
          </cell>
          <cell r="L62">
            <v>0.5</v>
          </cell>
          <cell r="M62">
            <v>131.15</v>
          </cell>
          <cell r="N62">
            <v>2491.85</v>
          </cell>
          <cell r="O62">
            <v>0.54999114256298443</v>
          </cell>
          <cell r="P62">
            <v>0.55000000000000004</v>
          </cell>
          <cell r="Q62">
            <v>118.03</v>
          </cell>
        </row>
        <row r="63">
          <cell r="F63" t="str">
            <v>ESPECIALIZAÇÃO EM IMAGINOLOGIA COM ÊNFASE EM TOMOGRAFIA COMPUTADORIZADA E RESSONÂNCIA MAGNÉTICA</v>
          </cell>
          <cell r="G63" t="str">
            <v>Saúde</v>
          </cell>
          <cell r="H63">
            <v>12</v>
          </cell>
          <cell r="I63">
            <v>19</v>
          </cell>
          <cell r="J63">
            <v>291.43870800000002</v>
          </cell>
          <cell r="K63">
            <v>5537.3354520000003</v>
          </cell>
          <cell r="L63">
            <v>0.5</v>
          </cell>
          <cell r="M63">
            <v>131.15</v>
          </cell>
          <cell r="N63">
            <v>2491.85</v>
          </cell>
          <cell r="O63">
            <v>0.54999114256298443</v>
          </cell>
          <cell r="P63">
            <v>0.55000000000000004</v>
          </cell>
          <cell r="Q63">
            <v>118.03</v>
          </cell>
        </row>
        <row r="64">
          <cell r="F64" t="str">
            <v>ESPECIALIZAÇÃO EM VIOLÊNCIA DE GÊNERO DIREITO, SAÚDE E DIVERSIDADE</v>
          </cell>
          <cell r="G64" t="str">
            <v>Direito</v>
          </cell>
          <cell r="H64">
            <v>12</v>
          </cell>
          <cell r="I64">
            <v>19</v>
          </cell>
          <cell r="J64">
            <v>262.27804200000003</v>
          </cell>
          <cell r="K64">
            <v>4983.2827980000002</v>
          </cell>
          <cell r="L64">
            <v>0.5</v>
          </cell>
          <cell r="M64">
            <v>118.03</v>
          </cell>
          <cell r="N64">
            <v>2242.5700000000002</v>
          </cell>
          <cell r="O64">
            <v>0.54998138959722753</v>
          </cell>
          <cell r="P64">
            <v>0.55000000000000004</v>
          </cell>
          <cell r="Q64">
            <v>106.22</v>
          </cell>
        </row>
        <row r="65">
          <cell r="F65" t="str">
            <v>MBA EM FINANÇAS CORPORATIVAS</v>
          </cell>
          <cell r="G65" t="str">
            <v>Gestão</v>
          </cell>
          <cell r="H65">
            <v>12</v>
          </cell>
          <cell r="I65">
            <v>19</v>
          </cell>
          <cell r="J65">
            <v>320.59937400000007</v>
          </cell>
          <cell r="K65">
            <v>6091.3881060000012</v>
          </cell>
          <cell r="L65">
            <v>0.5</v>
          </cell>
          <cell r="M65">
            <v>144.27000000000001</v>
          </cell>
          <cell r="N65">
            <v>2741.13</v>
          </cell>
          <cell r="O65">
            <v>0.54999912133328133</v>
          </cell>
          <cell r="P65">
            <v>0.55000000000000004</v>
          </cell>
          <cell r="Q65">
            <v>129.84</v>
          </cell>
        </row>
        <row r="66">
          <cell r="F66" t="str">
            <v>MBA EM ENGENHARIA DE SOFTWARE</v>
          </cell>
          <cell r="G66" t="str">
            <v>Tecnologia/Engenharia</v>
          </cell>
          <cell r="H66">
            <v>15</v>
          </cell>
          <cell r="I66">
            <v>19</v>
          </cell>
          <cell r="J66">
            <v>320.59937400000007</v>
          </cell>
          <cell r="K66">
            <v>6091.3881060000012</v>
          </cell>
          <cell r="L66">
            <v>0.5</v>
          </cell>
          <cell r="M66">
            <v>144.27000000000001</v>
          </cell>
          <cell r="N66">
            <v>2741.13</v>
          </cell>
          <cell r="O66">
            <v>0.54999912133328133</v>
          </cell>
          <cell r="P66">
            <v>0.55000000000000004</v>
          </cell>
          <cell r="Q66">
            <v>129.84</v>
          </cell>
        </row>
        <row r="67">
          <cell r="F67" t="str">
            <v>ESPECIALIZAÇÃO EM SOLUÇÃO DE CONFLITOS: MEDIAÇÃO E ARBITRAGEM</v>
          </cell>
          <cell r="G67" t="str">
            <v>Direito</v>
          </cell>
          <cell r="H67">
            <v>12</v>
          </cell>
          <cell r="I67">
            <v>19</v>
          </cell>
          <cell r="J67">
            <v>262.27804200000003</v>
          </cell>
          <cell r="K67">
            <v>4983.2827980000002</v>
          </cell>
          <cell r="L67">
            <v>0.4</v>
          </cell>
          <cell r="M67">
            <v>141.63</v>
          </cell>
          <cell r="N67">
            <v>2690.97</v>
          </cell>
          <cell r="O67">
            <v>0.46000054400284118</v>
          </cell>
          <cell r="P67">
            <v>0.45</v>
          </cell>
          <cell r="Q67">
            <v>129.83000000000001</v>
          </cell>
        </row>
        <row r="68">
          <cell r="F68" t="str">
            <v>ESPECIALIZAÇÃO EM MARKETING ESTRATÉGICO EM MÍDIAS E NEGÓCIOS DIGITAIS</v>
          </cell>
          <cell r="G68" t="str">
            <v>Comunicação</v>
          </cell>
          <cell r="H68">
            <v>12</v>
          </cell>
          <cell r="I68">
            <v>19</v>
          </cell>
          <cell r="J68">
            <v>291.43870800000002</v>
          </cell>
          <cell r="K68">
            <v>5537.3354520000003</v>
          </cell>
          <cell r="L68">
            <v>0.3</v>
          </cell>
          <cell r="M68">
            <v>183.61</v>
          </cell>
          <cell r="N68">
            <v>3488.59</v>
          </cell>
          <cell r="O68">
            <v>0.36998759958817828</v>
          </cell>
          <cell r="P68">
            <v>0.35</v>
          </cell>
          <cell r="Q68">
            <v>170.49</v>
          </cell>
        </row>
        <row r="69">
          <cell r="F69" t="str">
            <v>ESPECIALIZAÇÃO EM ESTUDOS FORENSE E CRIMINAL APLICADOS</v>
          </cell>
          <cell r="G69" t="str">
            <v>Direito</v>
          </cell>
          <cell r="H69">
            <v>15</v>
          </cell>
          <cell r="I69">
            <v>19</v>
          </cell>
          <cell r="J69">
            <v>419.73304200000007</v>
          </cell>
          <cell r="K69">
            <v>7974.9277980000015</v>
          </cell>
          <cell r="L69">
            <v>0.4</v>
          </cell>
          <cell r="M69">
            <v>226.66</v>
          </cell>
          <cell r="N69">
            <v>4306.54</v>
          </cell>
          <cell r="O69">
            <v>0.45999009532349389</v>
          </cell>
          <cell r="P69">
            <v>0.45</v>
          </cell>
          <cell r="Q69">
            <v>207.77</v>
          </cell>
        </row>
        <row r="70">
          <cell r="F70" t="str">
            <v>ESPECIALIZAÇÃO EM DIREITO TRIBUTÁRIO</v>
          </cell>
          <cell r="G70" t="str">
            <v>Direito</v>
          </cell>
          <cell r="H70">
            <v>12</v>
          </cell>
          <cell r="I70">
            <v>19</v>
          </cell>
          <cell r="J70">
            <v>262.27804200000003</v>
          </cell>
          <cell r="K70">
            <v>4983.2827980000002</v>
          </cell>
          <cell r="L70">
            <v>0.4</v>
          </cell>
          <cell r="M70">
            <v>141.63</v>
          </cell>
          <cell r="N70">
            <v>2690.97</v>
          </cell>
          <cell r="O70">
            <v>0.46000054400284118</v>
          </cell>
          <cell r="P70">
            <v>0.45</v>
          </cell>
          <cell r="Q70">
            <v>129.83000000000001</v>
          </cell>
        </row>
        <row r="71">
          <cell r="F71" t="str">
            <v>ESPECIALIZAÇÃO EM DIREITO EMPRESARIAL</v>
          </cell>
          <cell r="G71" t="str">
            <v>Direito</v>
          </cell>
          <cell r="H71">
            <v>12</v>
          </cell>
          <cell r="I71">
            <v>19</v>
          </cell>
          <cell r="J71">
            <v>262.27804200000003</v>
          </cell>
          <cell r="K71">
            <v>4983.2827980000002</v>
          </cell>
          <cell r="L71">
            <v>0.5</v>
          </cell>
          <cell r="M71">
            <v>118.03</v>
          </cell>
          <cell r="N71">
            <v>2242.5700000000002</v>
          </cell>
          <cell r="O71">
            <v>0.54998138959722753</v>
          </cell>
          <cell r="P71">
            <v>0.55000000000000004</v>
          </cell>
          <cell r="Q71">
            <v>106.22</v>
          </cell>
        </row>
        <row r="72">
          <cell r="F72" t="str">
            <v>ESPECIALIZAÇÃO EM DIREITO IMOBILIÁRIO</v>
          </cell>
          <cell r="G72" t="str">
            <v>Direito</v>
          </cell>
          <cell r="H72">
            <v>12</v>
          </cell>
          <cell r="I72">
            <v>19</v>
          </cell>
          <cell r="J72">
            <v>262.27804200000003</v>
          </cell>
          <cell r="K72">
            <v>4983.2827980000002</v>
          </cell>
          <cell r="L72">
            <v>0.3</v>
          </cell>
          <cell r="M72">
            <v>165.24</v>
          </cell>
          <cell r="N72">
            <v>3139.5600000000004</v>
          </cell>
          <cell r="O72">
            <v>0.36998157093150785</v>
          </cell>
          <cell r="P72">
            <v>0.35</v>
          </cell>
          <cell r="Q72">
            <v>153.43</v>
          </cell>
        </row>
        <row r="73">
          <cell r="F73" t="str">
            <v>ESPECIALIZAÇÃO EM ENGENHARIA DA MANUTENÇÃO</v>
          </cell>
          <cell r="G73" t="str">
            <v>Tecnologia/Engenharia</v>
          </cell>
          <cell r="H73">
            <v>12</v>
          </cell>
          <cell r="I73">
            <v>19</v>
          </cell>
          <cell r="J73">
            <v>320.59937400000007</v>
          </cell>
          <cell r="K73">
            <v>6091.3881060000012</v>
          </cell>
          <cell r="L73">
            <v>0.3</v>
          </cell>
          <cell r="M73">
            <v>201.98</v>
          </cell>
          <cell r="N73">
            <v>3837.62</v>
          </cell>
          <cell r="O73">
            <v>0.36999253155123146</v>
          </cell>
          <cell r="P73">
            <v>0.35</v>
          </cell>
          <cell r="Q73">
            <v>187.55</v>
          </cell>
        </row>
        <row r="74">
          <cell r="F74" t="str">
            <v>MBA EM ESG: RESPONSABILIDADE SOCIAL, AMBIENTAL E GOVERNANÇA CORPORATIVA</v>
          </cell>
          <cell r="G74" t="str">
            <v>Gestão</v>
          </cell>
          <cell r="H74">
            <v>14</v>
          </cell>
          <cell r="I74">
            <v>19</v>
          </cell>
          <cell r="J74">
            <v>524.85</v>
          </cell>
          <cell r="K74">
            <v>9972.15</v>
          </cell>
          <cell r="L74">
            <v>0.4</v>
          </cell>
          <cell r="M74">
            <v>283.42</v>
          </cell>
          <cell r="N74">
            <v>5384.9800000000005</v>
          </cell>
          <cell r="O74">
            <v>0.45999809469372199</v>
          </cell>
          <cell r="P74">
            <v>0.45</v>
          </cell>
          <cell r="Q74">
            <v>259.8</v>
          </cell>
        </row>
        <row r="75">
          <cell r="F75" t="str">
            <v>ESPECIALIZAÇÃO EM ENFERMAGEM DO TRABALHO</v>
          </cell>
          <cell r="G75" t="str">
            <v>Saúde</v>
          </cell>
          <cell r="H75">
            <v>12</v>
          </cell>
          <cell r="I75">
            <v>19</v>
          </cell>
          <cell r="J75">
            <v>291.43870800000002</v>
          </cell>
          <cell r="K75">
            <v>5537.3354520000003</v>
          </cell>
          <cell r="L75">
            <v>0.5</v>
          </cell>
          <cell r="M75">
            <v>131.15</v>
          </cell>
          <cell r="N75">
            <v>2491.85</v>
          </cell>
          <cell r="O75">
            <v>0.54999114256298443</v>
          </cell>
          <cell r="P75">
            <v>0.55000000000000004</v>
          </cell>
          <cell r="Q75">
            <v>118.03</v>
          </cell>
        </row>
        <row r="76">
          <cell r="F76" t="str">
            <v>ESPECIALIZAÇÃO MULTIPROFISSIONAL EM ONCOLOGIA</v>
          </cell>
          <cell r="G76" t="str">
            <v>Saúde</v>
          </cell>
          <cell r="H76">
            <v>12</v>
          </cell>
          <cell r="I76">
            <v>19</v>
          </cell>
          <cell r="J76">
            <v>364.32987600000001</v>
          </cell>
          <cell r="K76">
            <v>6922.2676440000005</v>
          </cell>
          <cell r="L76">
            <v>0.4</v>
          </cell>
          <cell r="M76">
            <v>196.74</v>
          </cell>
          <cell r="N76">
            <v>3738.0600000000004</v>
          </cell>
          <cell r="O76">
            <v>0.45999487563298269</v>
          </cell>
          <cell r="P76">
            <v>0.45</v>
          </cell>
          <cell r="Q76">
            <v>180.34</v>
          </cell>
        </row>
        <row r="77">
          <cell r="F77" t="str">
            <v>ESPECIALIZAÇÃO EM GESTÃO DE EXPERIÊNCIA DO CLIENTE EM SERVIÇOS DE SAÚDE</v>
          </cell>
          <cell r="G77" t="str">
            <v>Saúde</v>
          </cell>
          <cell r="H77">
            <v>12</v>
          </cell>
          <cell r="I77">
            <v>19</v>
          </cell>
          <cell r="J77">
            <v>291.43870800000002</v>
          </cell>
          <cell r="K77">
            <v>5537.3354520000003</v>
          </cell>
          <cell r="L77">
            <v>0.4</v>
          </cell>
          <cell r="M77">
            <v>157.38</v>
          </cell>
          <cell r="N77">
            <v>2990.22</v>
          </cell>
          <cell r="O77">
            <v>0.45998937107558135</v>
          </cell>
          <cell r="P77">
            <v>0.45</v>
          </cell>
          <cell r="Q77">
            <v>144.26</v>
          </cell>
        </row>
        <row r="78">
          <cell r="F78" t="str">
            <v>ESPECIALIZAÇÃO EM UX/UI DESIGN</v>
          </cell>
          <cell r="G78" t="str">
            <v>Tecnologia/Engenharia</v>
          </cell>
          <cell r="H78">
            <v>12</v>
          </cell>
          <cell r="I78">
            <v>19</v>
          </cell>
          <cell r="J78">
            <v>320.59937400000007</v>
          </cell>
          <cell r="K78">
            <v>6091.3881060000012</v>
          </cell>
          <cell r="L78">
            <v>0.5</v>
          </cell>
          <cell r="M78">
            <v>144.27000000000001</v>
          </cell>
          <cell r="N78">
            <v>2741.13</v>
          </cell>
          <cell r="O78">
            <v>0.54999912133328133</v>
          </cell>
          <cell r="P78">
            <v>0.55000000000000004</v>
          </cell>
          <cell r="Q78">
            <v>129.84</v>
          </cell>
        </row>
        <row r="79">
          <cell r="F79" t="str">
            <v>ESPECIALIZAÇÃO EM SAFETY EM AVIAÇÃO</v>
          </cell>
          <cell r="G79" t="str">
            <v>Tecnologia/Engenharia</v>
          </cell>
          <cell r="H79">
            <v>12</v>
          </cell>
          <cell r="I79">
            <v>19</v>
          </cell>
          <cell r="J79">
            <v>291.43870800000002</v>
          </cell>
          <cell r="K79">
            <v>5537.3354520000003</v>
          </cell>
          <cell r="L79">
            <v>0.4</v>
          </cell>
          <cell r="M79">
            <v>157.38</v>
          </cell>
          <cell r="N79">
            <v>2990.22</v>
          </cell>
          <cell r="O79">
            <v>0.45998937107558135</v>
          </cell>
          <cell r="P79">
            <v>0.45</v>
          </cell>
          <cell r="Q79">
            <v>144.26</v>
          </cell>
        </row>
        <row r="80">
          <cell r="F80" t="str">
            <v>ESPECIALIZAÇÃO EM ENFERMAGEM EM SAÚDE DA MULHER</v>
          </cell>
          <cell r="G80" t="str">
            <v>Saúde</v>
          </cell>
          <cell r="H80">
            <v>18</v>
          </cell>
          <cell r="I80">
            <v>19</v>
          </cell>
          <cell r="J80">
            <v>320.59937400000007</v>
          </cell>
          <cell r="K80">
            <v>5802.9800000000005</v>
          </cell>
          <cell r="L80">
            <v>0.4</v>
          </cell>
          <cell r="M80">
            <v>173.12</v>
          </cell>
          <cell r="N80">
            <v>3289.28</v>
          </cell>
          <cell r="O80">
            <v>0.46001142223066238</v>
          </cell>
          <cell r="P80">
            <v>0.45</v>
          </cell>
          <cell r="Q80">
            <v>158.69999999999999</v>
          </cell>
        </row>
        <row r="81">
          <cell r="F81" t="str">
            <v>ESPECIALIZAÇÃO EM MEDICAL SCIENCE LIAISON</v>
          </cell>
          <cell r="G81" t="str">
            <v>Saúde</v>
          </cell>
          <cell r="H81">
            <v>18</v>
          </cell>
          <cell r="I81">
            <v>19</v>
          </cell>
          <cell r="J81">
            <v>419.73304200000007</v>
          </cell>
          <cell r="K81">
            <v>7974.9277980000015</v>
          </cell>
          <cell r="L81">
            <v>0.4</v>
          </cell>
          <cell r="M81">
            <v>226.66</v>
          </cell>
          <cell r="N81">
            <v>4306.54</v>
          </cell>
          <cell r="O81">
            <v>0.45999009532349389</v>
          </cell>
          <cell r="P81">
            <v>0.45</v>
          </cell>
          <cell r="Q81">
            <v>207.77</v>
          </cell>
        </row>
        <row r="82">
          <cell r="F82" t="str">
            <v>ESPECIALIZAÇÃO EM PRESCRIÇÃO FARMACÊUTICA</v>
          </cell>
          <cell r="G82" t="str">
            <v>Saúde</v>
          </cell>
          <cell r="H82">
            <v>18</v>
          </cell>
          <cell r="I82">
            <v>19</v>
          </cell>
          <cell r="J82">
            <v>419.73304200000007</v>
          </cell>
          <cell r="K82">
            <v>7974.9277980000015</v>
          </cell>
          <cell r="L82">
            <v>0.4</v>
          </cell>
          <cell r="M82">
            <v>226.66</v>
          </cell>
          <cell r="N82">
            <v>4306.54</v>
          </cell>
          <cell r="O82">
            <v>0.45999009532349389</v>
          </cell>
          <cell r="P82">
            <v>0.45</v>
          </cell>
          <cell r="Q82">
            <v>207.77</v>
          </cell>
        </row>
        <row r="83">
          <cell r="F83" t="str">
            <v>ESPECIALIZAÇÃO EM NUTRIÇÃO EM SAÚDE DA MULHER E FITOTERAPIA</v>
          </cell>
          <cell r="G83" t="str">
            <v>Saúde</v>
          </cell>
          <cell r="H83">
            <v>18</v>
          </cell>
          <cell r="I83">
            <v>19</v>
          </cell>
          <cell r="J83">
            <v>419.73304200000007</v>
          </cell>
          <cell r="K83">
            <v>7974.9277980000015</v>
          </cell>
          <cell r="L83">
            <v>0.4</v>
          </cell>
          <cell r="M83">
            <v>226.66</v>
          </cell>
          <cell r="N83">
            <v>4306.54</v>
          </cell>
          <cell r="O83">
            <v>0.45999009532349389</v>
          </cell>
          <cell r="P83">
            <v>0.45</v>
          </cell>
          <cell r="Q83">
            <v>207.77</v>
          </cell>
        </row>
        <row r="84">
          <cell r="F84" t="str">
            <v>ESPECIALIZAÇÃO EM ENGENHARIA LEGAL E DIAGNÓSTICA PARA ENGENHEIROS E ARQUITETOS</v>
          </cell>
          <cell r="G84" t="str">
            <v>Tecnologia/Engenharia</v>
          </cell>
          <cell r="H84">
            <v>18</v>
          </cell>
          <cell r="I84">
            <v>19</v>
          </cell>
          <cell r="J84">
            <v>320.59937400000007</v>
          </cell>
          <cell r="K84">
            <v>6091.3881060000012</v>
          </cell>
          <cell r="L84">
            <v>0.4</v>
          </cell>
          <cell r="M84">
            <v>173.12</v>
          </cell>
          <cell r="N84">
            <v>3289.28</v>
          </cell>
          <cell r="O84">
            <v>0.46001142223066238</v>
          </cell>
          <cell r="P84">
            <v>0.45</v>
          </cell>
          <cell r="Q84">
            <v>158.69999999999999</v>
          </cell>
        </row>
        <row r="85">
          <cell r="F85" t="str">
            <v>ESPECIALIZAÇÃO EM JOGOS DIGITAIS</v>
          </cell>
          <cell r="G85" t="str">
            <v>Tecnologia/Engenharia</v>
          </cell>
          <cell r="H85">
            <v>18</v>
          </cell>
          <cell r="I85">
            <v>19</v>
          </cell>
          <cell r="J85">
            <v>320.59937400000007</v>
          </cell>
          <cell r="K85">
            <v>6091.3881060000012</v>
          </cell>
          <cell r="L85">
            <v>0.4</v>
          </cell>
          <cell r="M85">
            <v>173.12</v>
          </cell>
          <cell r="N85">
            <v>3289.28</v>
          </cell>
          <cell r="O85">
            <v>0.46001142223066238</v>
          </cell>
          <cell r="P85">
            <v>0.45</v>
          </cell>
          <cell r="Q85">
            <v>158.69999999999999</v>
          </cell>
        </row>
        <row r="86">
          <cell r="F86" t="str">
            <v>ESPECIALIZAÇÃO EM BIM APLICADA À CONSTRUÇÃO CIVIL</v>
          </cell>
          <cell r="G86" t="str">
            <v>Tecnologia/Engenharia</v>
          </cell>
          <cell r="H86">
            <v>18</v>
          </cell>
          <cell r="I86">
            <v>19</v>
          </cell>
          <cell r="J86">
            <v>419.73304200000007</v>
          </cell>
          <cell r="K86">
            <v>7974.9277980000015</v>
          </cell>
          <cell r="L86">
            <v>0.4</v>
          </cell>
          <cell r="M86">
            <v>226.66</v>
          </cell>
          <cell r="N86">
            <v>4306.54</v>
          </cell>
          <cell r="O86">
            <v>0.45999009532349389</v>
          </cell>
          <cell r="P86">
            <v>0.45</v>
          </cell>
          <cell r="Q86">
            <v>207.77</v>
          </cell>
        </row>
        <row r="87">
          <cell r="F87" t="str">
            <v>MBA EM GESTÃO DE PROCESSOS – BUSINESS PROCESS MANAGEMENT</v>
          </cell>
          <cell r="G87" t="str">
            <v>Gestão</v>
          </cell>
          <cell r="H87">
            <v>18</v>
          </cell>
          <cell r="I87">
            <v>19</v>
          </cell>
          <cell r="J87">
            <v>320.59937400000007</v>
          </cell>
          <cell r="K87">
            <v>6091.3881060000012</v>
          </cell>
          <cell r="L87">
            <v>0.4</v>
          </cell>
          <cell r="M87">
            <v>173.12</v>
          </cell>
          <cell r="N87">
            <v>3289.28</v>
          </cell>
          <cell r="O87">
            <v>0.46001142223066238</v>
          </cell>
          <cell r="P87">
            <v>0.45</v>
          </cell>
          <cell r="Q87">
            <v>158.69999999999999</v>
          </cell>
        </row>
        <row r="88">
          <cell r="F88" t="str">
            <v>MBA EM ENGENHARIA DA PRODUÇÃO, QUALIDADE E COMPETITIVIDADE</v>
          </cell>
          <cell r="G88" t="str">
            <v>Gestão</v>
          </cell>
          <cell r="H88">
            <v>18</v>
          </cell>
          <cell r="I88">
            <v>19</v>
          </cell>
          <cell r="J88">
            <v>320.59937400000007</v>
          </cell>
          <cell r="K88">
            <v>6091.3881060000012</v>
          </cell>
          <cell r="L88">
            <v>0.4</v>
          </cell>
          <cell r="M88">
            <v>173.12</v>
          </cell>
          <cell r="N88">
            <v>3289.28</v>
          </cell>
          <cell r="O88">
            <v>0.46001142223066238</v>
          </cell>
          <cell r="P88">
            <v>0.45</v>
          </cell>
          <cell r="Q88">
            <v>158.69999999999999</v>
          </cell>
        </row>
        <row r="89">
          <cell r="F89" t="str">
            <v>ESPECIALIZAÇÃO EM FONOAUDIOLOGIA HOSPITALAR</v>
          </cell>
          <cell r="G89" t="str">
            <v>Saúde</v>
          </cell>
          <cell r="H89">
            <v>18</v>
          </cell>
          <cell r="I89">
            <v>19</v>
          </cell>
          <cell r="J89">
            <v>320.59937400000007</v>
          </cell>
          <cell r="K89">
            <v>6091.3881060000012</v>
          </cell>
          <cell r="L89">
            <v>0.4</v>
          </cell>
          <cell r="M89">
            <v>173.12</v>
          </cell>
          <cell r="N89">
            <v>3289.28</v>
          </cell>
          <cell r="O89">
            <v>0.46001142223066238</v>
          </cell>
          <cell r="P89">
            <v>0.45</v>
          </cell>
          <cell r="Q89">
            <v>158.69999999999999</v>
          </cell>
        </row>
        <row r="90">
          <cell r="F90" t="str">
            <v>ESPECIALIZAÇÃO EM DIREITO DE FAMÍLIA E SUCESSÕES</v>
          </cell>
          <cell r="G90" t="str">
            <v>Direito</v>
          </cell>
          <cell r="H90">
            <v>18</v>
          </cell>
          <cell r="I90">
            <v>19</v>
          </cell>
          <cell r="J90">
            <v>320.59937400000007</v>
          </cell>
          <cell r="K90">
            <v>6091.3881060000012</v>
          </cell>
          <cell r="L90">
            <v>0.4</v>
          </cell>
          <cell r="M90">
            <v>173.12</v>
          </cell>
          <cell r="N90">
            <v>3289.28</v>
          </cell>
          <cell r="O90">
            <v>0.46001142223066238</v>
          </cell>
          <cell r="P90">
            <v>0.45</v>
          </cell>
          <cell r="Q90">
            <v>158.69999999999999</v>
          </cell>
        </row>
        <row r="91">
          <cell r="F91" t="str">
            <v>MBA EM GESTÃO DE ALTA PERFORMANCE</v>
          </cell>
          <cell r="G91" t="str">
            <v>Gestão</v>
          </cell>
          <cell r="H91">
            <v>18</v>
          </cell>
          <cell r="I91">
            <v>19</v>
          </cell>
          <cell r="J91">
            <v>320.59937400000007</v>
          </cell>
          <cell r="K91">
            <v>6091.3881060000012</v>
          </cell>
          <cell r="L91">
            <v>0.5</v>
          </cell>
          <cell r="M91">
            <v>144.27000000000001</v>
          </cell>
          <cell r="N91">
            <v>2741.13</v>
          </cell>
          <cell r="O91">
            <v>0.54999912133328133</v>
          </cell>
          <cell r="P91">
            <v>0.55000000000000004</v>
          </cell>
          <cell r="Q91">
            <v>129.84</v>
          </cell>
        </row>
        <row r="92">
          <cell r="F92" t="str">
            <v>LLM EM DIREITO MÉDICO E DA SAÚDE</v>
          </cell>
          <cell r="G92" t="str">
            <v>Direito</v>
          </cell>
          <cell r="H92">
            <v>18</v>
          </cell>
          <cell r="I92">
            <v>19</v>
          </cell>
          <cell r="J92">
            <v>419.73304200000007</v>
          </cell>
          <cell r="K92">
            <v>7974.9277980000015</v>
          </cell>
          <cell r="L92">
            <v>0.4</v>
          </cell>
          <cell r="M92">
            <v>226.66</v>
          </cell>
          <cell r="N92">
            <v>4306.54</v>
          </cell>
          <cell r="O92">
            <v>0.45999009532349389</v>
          </cell>
          <cell r="P92">
            <v>0.45</v>
          </cell>
          <cell r="Q92">
            <v>207.77</v>
          </cell>
        </row>
        <row r="93">
          <cell r="F93" t="str">
            <v>ESPECIALIZAÇÃO EM BIOINFORMÁTICA APLICADA À SAÚDE</v>
          </cell>
          <cell r="G93" t="str">
            <v>Tecnologia/Engenharia</v>
          </cell>
          <cell r="H93">
            <v>12</v>
          </cell>
          <cell r="I93">
            <v>19</v>
          </cell>
          <cell r="J93">
            <v>440.87400000000002</v>
          </cell>
          <cell r="K93">
            <v>8376.6059999999998</v>
          </cell>
          <cell r="L93">
            <v>0.4</v>
          </cell>
          <cell r="M93">
            <v>238.07</v>
          </cell>
          <cell r="N93">
            <v>4523.33</v>
          </cell>
          <cell r="O93">
            <v>0.46000444571464871</v>
          </cell>
          <cell r="P93">
            <v>0.45</v>
          </cell>
          <cell r="Q93">
            <v>218.23</v>
          </cell>
        </row>
        <row r="94">
          <cell r="F94" t="str">
            <v>ESPECIALIZAÇÃO EM EDUCAÇÃO ANTIRRACISTA E ESTUDOS ÉTNICO-RACIAIS</v>
          </cell>
          <cell r="G94" t="str">
            <v>Educação</v>
          </cell>
          <cell r="H94">
            <v>12</v>
          </cell>
          <cell r="I94">
            <v>19</v>
          </cell>
          <cell r="J94">
            <v>367.39500000000004</v>
          </cell>
          <cell r="K94">
            <v>6980.505000000001</v>
          </cell>
          <cell r="L94">
            <v>0.4</v>
          </cell>
          <cell r="M94">
            <v>198.39</v>
          </cell>
          <cell r="N94">
            <v>3769.41</v>
          </cell>
          <cell r="O94">
            <v>0.46000898215816777</v>
          </cell>
          <cell r="P94">
            <v>0.45</v>
          </cell>
          <cell r="Q94">
            <v>181.86</v>
          </cell>
        </row>
        <row r="95">
          <cell r="F95" t="str">
            <v>ESPECIALIZAÇÃO EM EDUCAÇÃO E INOVAÇÕES TECNOLÓGICAS</v>
          </cell>
          <cell r="G95" t="str">
            <v>Educação</v>
          </cell>
          <cell r="H95">
            <v>12</v>
          </cell>
          <cell r="I95">
            <v>19</v>
          </cell>
          <cell r="J95">
            <v>367.39500000000004</v>
          </cell>
          <cell r="K95">
            <v>6980.505000000001</v>
          </cell>
          <cell r="L95">
            <v>0.4</v>
          </cell>
          <cell r="M95">
            <v>198.39</v>
          </cell>
          <cell r="N95">
            <v>3769.41</v>
          </cell>
          <cell r="O95">
            <v>0.46000898215816777</v>
          </cell>
          <cell r="P95">
            <v>0.45</v>
          </cell>
          <cell r="Q95">
            <v>181.86</v>
          </cell>
        </row>
        <row r="96">
          <cell r="F96" t="str">
            <v>ESPECIALIZAÇÃO EM EDUCAÇÃO ESPECIAL E INCLUSIVA</v>
          </cell>
          <cell r="G96" t="str">
            <v>Educação</v>
          </cell>
          <cell r="H96">
            <v>12</v>
          </cell>
          <cell r="I96">
            <v>19</v>
          </cell>
          <cell r="J96">
            <v>367.39500000000004</v>
          </cell>
          <cell r="K96">
            <v>6980.505000000001</v>
          </cell>
          <cell r="L96">
            <v>0.4</v>
          </cell>
          <cell r="M96">
            <v>198.39</v>
          </cell>
          <cell r="N96">
            <v>3769.41</v>
          </cell>
          <cell r="O96">
            <v>0.46000898215816777</v>
          </cell>
          <cell r="P96">
            <v>0.45</v>
          </cell>
          <cell r="Q96">
            <v>181.86</v>
          </cell>
        </row>
        <row r="97">
          <cell r="F97" t="str">
            <v>ESPECIALIZAÇÃO EM EDUCAÇÃO INFANTIL</v>
          </cell>
          <cell r="G97" t="str">
            <v>Educação</v>
          </cell>
          <cell r="H97">
            <v>12</v>
          </cell>
          <cell r="I97">
            <v>19</v>
          </cell>
          <cell r="J97">
            <v>320.431422</v>
          </cell>
          <cell r="K97">
            <v>7315</v>
          </cell>
          <cell r="L97">
            <v>0.4</v>
          </cell>
          <cell r="M97">
            <v>173.03</v>
          </cell>
          <cell r="N97">
            <v>3287.57</v>
          </cell>
          <cell r="O97">
            <v>0.46000926213784366</v>
          </cell>
          <cell r="P97">
            <v>0.45</v>
          </cell>
          <cell r="Q97">
            <v>158.61000000000001</v>
          </cell>
        </row>
        <row r="98">
          <cell r="F98" t="str">
            <v>ESPECIALIZAÇÃO EM PSICOPEDAGOGIA CLÍNICA E INSTITUCIONAL</v>
          </cell>
          <cell r="G98" t="str">
            <v>Educação</v>
          </cell>
          <cell r="H98">
            <v>12</v>
          </cell>
          <cell r="I98">
            <v>19</v>
          </cell>
          <cell r="J98">
            <v>367.39500000000004</v>
          </cell>
          <cell r="K98">
            <v>7315</v>
          </cell>
          <cell r="L98">
            <v>0.3</v>
          </cell>
          <cell r="M98">
            <v>231.46</v>
          </cell>
          <cell r="N98">
            <v>4397.74</v>
          </cell>
          <cell r="O98">
            <v>0.36999686985397195</v>
          </cell>
          <cell r="P98">
            <v>0.35</v>
          </cell>
          <cell r="Q98">
            <v>214.93</v>
          </cell>
        </row>
        <row r="99">
          <cell r="F99" t="str">
            <v>ESPECIALIZAÇÃO EM TERAPIAS COGNITIVO-COMPORTAMENTAIS</v>
          </cell>
          <cell r="G99" t="str">
            <v>Saúde</v>
          </cell>
          <cell r="H99">
            <v>12</v>
          </cell>
          <cell r="I99">
            <v>19</v>
          </cell>
          <cell r="J99">
            <v>356.89800000000002</v>
          </cell>
          <cell r="K99">
            <v>6380.01</v>
          </cell>
          <cell r="L99">
            <v>0.4</v>
          </cell>
          <cell r="M99">
            <v>192.72</v>
          </cell>
          <cell r="N99">
            <v>3661.68</v>
          </cell>
          <cell r="O99">
            <v>0.46001378545130545</v>
          </cell>
          <cell r="P99">
            <v>0.45</v>
          </cell>
          <cell r="Q99">
            <v>176.66</v>
          </cell>
        </row>
        <row r="100">
          <cell r="F100" t="str">
            <v>ESPECIALIZAÇÃO EM PSICOLOGIA HOSPITALAR</v>
          </cell>
          <cell r="G100" t="str">
            <v>Saúde</v>
          </cell>
          <cell r="H100">
            <v>12</v>
          </cell>
          <cell r="I100">
            <v>19</v>
          </cell>
          <cell r="J100">
            <v>356.89800000000002</v>
          </cell>
          <cell r="K100">
            <v>7315</v>
          </cell>
          <cell r="L100">
            <v>0.4</v>
          </cell>
          <cell r="M100">
            <v>192.72</v>
          </cell>
          <cell r="N100">
            <v>3661.68</v>
          </cell>
          <cell r="O100">
            <v>0.46001378545130545</v>
          </cell>
          <cell r="P100">
            <v>0.45</v>
          </cell>
          <cell r="Q100">
            <v>176.66</v>
          </cell>
        </row>
        <row r="101">
          <cell r="F101" t="str">
            <v>ESPECIALIZAÇÃO EM DEPENDÊNCIAS E COMPORTAMENTOS ADICTIVOS</v>
          </cell>
          <cell r="G101" t="str">
            <v>Saúde</v>
          </cell>
          <cell r="H101">
            <v>12</v>
          </cell>
          <cell r="I101">
            <v>19</v>
          </cell>
          <cell r="J101">
            <v>356.89800000000002</v>
          </cell>
          <cell r="K101">
            <v>6781.0620000000008</v>
          </cell>
          <cell r="L101">
            <v>0.4</v>
          </cell>
          <cell r="M101">
            <v>192.72</v>
          </cell>
          <cell r="N101">
            <v>3661.68</v>
          </cell>
          <cell r="O101">
            <v>0.46001378545130545</v>
          </cell>
          <cell r="P101">
            <v>0.45</v>
          </cell>
          <cell r="Q101">
            <v>176.66</v>
          </cell>
        </row>
        <row r="102">
          <cell r="F102" t="str">
            <v>ESPECIALIZAÇÃO EM PSICOLOGIA DA INFÂNCIA E ADOLESCÊNCIA</v>
          </cell>
          <cell r="G102" t="str">
            <v>Saúde</v>
          </cell>
          <cell r="H102">
            <v>12</v>
          </cell>
          <cell r="I102">
            <v>19</v>
          </cell>
          <cell r="J102">
            <v>409.38300000000004</v>
          </cell>
          <cell r="K102">
            <v>7778.277000000001</v>
          </cell>
          <cell r="L102">
            <v>0.4</v>
          </cell>
          <cell r="M102">
            <v>221.07</v>
          </cell>
          <cell r="N102">
            <v>4200.33</v>
          </cell>
          <cell r="O102">
            <v>0.45999223221286678</v>
          </cell>
          <cell r="P102">
            <v>0.45</v>
          </cell>
          <cell r="Q102">
            <v>202.64</v>
          </cell>
        </row>
        <row r="103">
          <cell r="F103" t="str">
            <v>ESPECIALIZAÇÃO EM PSICOMOTRICIDADE INSTITUCIONAL E CLÍNICA</v>
          </cell>
          <cell r="G103" t="str">
            <v>Educação</v>
          </cell>
          <cell r="H103">
            <v>12</v>
          </cell>
          <cell r="I103">
            <v>19</v>
          </cell>
          <cell r="J103">
            <v>367.39500000000004</v>
          </cell>
          <cell r="K103">
            <v>6980.505000000001</v>
          </cell>
          <cell r="L103">
            <v>0.4</v>
          </cell>
          <cell r="M103">
            <v>198.39</v>
          </cell>
          <cell r="N103">
            <v>3769.41</v>
          </cell>
          <cell r="O103">
            <v>0.46000898215816777</v>
          </cell>
          <cell r="P103">
            <v>0.45</v>
          </cell>
          <cell r="Q103">
            <v>181.86</v>
          </cell>
        </row>
        <row r="104">
          <cell r="F104" t="str">
            <v>ESPECIALIZAÇÃO EM AVALIAÇÃO E DIAGNÓSTICO PSICOLÓGICO</v>
          </cell>
          <cell r="G104" t="str">
            <v>Saúde</v>
          </cell>
          <cell r="H104">
            <v>12</v>
          </cell>
          <cell r="I104">
            <v>19</v>
          </cell>
          <cell r="J104">
            <v>409.38300000000004</v>
          </cell>
          <cell r="K104">
            <v>7778.277000000001</v>
          </cell>
          <cell r="L104">
            <v>0.4</v>
          </cell>
          <cell r="M104">
            <v>221.07</v>
          </cell>
          <cell r="N104">
            <v>4200.33</v>
          </cell>
          <cell r="O104">
            <v>0.45999223221286678</v>
          </cell>
          <cell r="P104">
            <v>0.45</v>
          </cell>
          <cell r="Q104">
            <v>202.64</v>
          </cell>
        </row>
        <row r="105">
          <cell r="F105" t="str">
            <v>ESPECIALIZAÇÃO EM INTELIGÊNCIA ARTIFICIAL (I.A) E MACHINE LEARNING</v>
          </cell>
          <cell r="G105" t="str">
            <v>Tecnologia/Engenharia</v>
          </cell>
          <cell r="H105">
            <v>12</v>
          </cell>
          <cell r="I105">
            <v>19</v>
          </cell>
          <cell r="J105">
            <v>291.43870800000002</v>
          </cell>
          <cell r="K105">
            <v>5537.3354520000003</v>
          </cell>
          <cell r="L105">
            <v>0.4</v>
          </cell>
          <cell r="M105">
            <v>157.38</v>
          </cell>
          <cell r="N105">
            <v>2990.22</v>
          </cell>
          <cell r="O105">
            <v>0.45998937107558135</v>
          </cell>
          <cell r="P105">
            <v>0.45</v>
          </cell>
          <cell r="Q105">
            <v>144.26</v>
          </cell>
        </row>
        <row r="106">
          <cell r="F106" t="str">
            <v>ESPECIALIZAÇÃO EM INTELIGÊNCIA DE DADOS PARA NEGÓCIOS</v>
          </cell>
          <cell r="G106" t="str">
            <v>Tecnologia/Engenharia</v>
          </cell>
          <cell r="H106">
            <v>12</v>
          </cell>
          <cell r="I106">
            <v>19</v>
          </cell>
          <cell r="J106">
            <v>291.43870800000002</v>
          </cell>
          <cell r="K106">
            <v>5537.3354520000003</v>
          </cell>
          <cell r="L106">
            <v>0.4</v>
          </cell>
          <cell r="M106">
            <v>157.38</v>
          </cell>
          <cell r="N106">
            <v>2990.22</v>
          </cell>
          <cell r="O106">
            <v>0.45998937107558135</v>
          </cell>
          <cell r="P106">
            <v>0.45</v>
          </cell>
          <cell r="Q106">
            <v>144.26</v>
          </cell>
        </row>
        <row r="107">
          <cell r="F107" t="str">
            <v>ESPECIALIZAÇÃO EM EDUCAÇÃO EM RELAÇÕES DE GÊNERO, INTERSECCIONALIDADE E DIVERSIDADE</v>
          </cell>
          <cell r="G107" t="str">
            <v>Educação</v>
          </cell>
          <cell r="H107">
            <v>12</v>
          </cell>
          <cell r="I107">
            <v>19</v>
          </cell>
          <cell r="J107">
            <v>367.39500000000004</v>
          </cell>
          <cell r="K107">
            <v>6980.505000000001</v>
          </cell>
          <cell r="L107">
            <v>0.4</v>
          </cell>
          <cell r="M107">
            <v>198.39</v>
          </cell>
          <cell r="N107">
            <v>3769.41</v>
          </cell>
          <cell r="O107">
            <v>0.46000898215816777</v>
          </cell>
          <cell r="P107">
            <v>0.45</v>
          </cell>
          <cell r="Q107">
            <v>181.86</v>
          </cell>
        </row>
        <row r="108">
          <cell r="F108" t="str">
            <v>ESPECIALIZAÇÃO EM ABA - APPLIED BEHAVIOR ANALYSIS - ANÁLISE DO COMPORTAMENTO APLICADO</v>
          </cell>
          <cell r="G108" t="str">
            <v>Educação</v>
          </cell>
          <cell r="H108">
            <v>12</v>
          </cell>
          <cell r="I108">
            <v>19</v>
          </cell>
          <cell r="J108">
            <v>367.39500000000004</v>
          </cell>
          <cell r="K108">
            <v>6980.505000000001</v>
          </cell>
          <cell r="L108">
            <v>0.4</v>
          </cell>
          <cell r="M108">
            <v>198.39</v>
          </cell>
          <cell r="N108">
            <v>3769.41</v>
          </cell>
          <cell r="O108">
            <v>0.46000898215816777</v>
          </cell>
          <cell r="P108">
            <v>0.45</v>
          </cell>
          <cell r="Q108">
            <v>181.86</v>
          </cell>
        </row>
        <row r="109">
          <cell r="F109" t="str">
            <v>ESPECIALIZAÇÃO EM EDUCAÇÃO FÍSICA ESCOLAR</v>
          </cell>
          <cell r="G109" t="str">
            <v>Educação</v>
          </cell>
          <cell r="H109">
            <v>12</v>
          </cell>
          <cell r="I109">
            <v>19</v>
          </cell>
          <cell r="J109">
            <v>320.431422</v>
          </cell>
          <cell r="K109">
            <v>6088.1970179999998</v>
          </cell>
          <cell r="L109">
            <v>0.4</v>
          </cell>
          <cell r="M109">
            <v>173.03</v>
          </cell>
          <cell r="N109">
            <v>3287.57</v>
          </cell>
          <cell r="O109">
            <v>0.46000926213784366</v>
          </cell>
          <cell r="P109">
            <v>0.45</v>
          </cell>
          <cell r="Q109">
            <v>158.61000000000001</v>
          </cell>
        </row>
        <row r="110">
          <cell r="F110" t="str">
            <v>ESPECIALIZAÇÃO EM ENSINO DE CIÊNCIAS NATURAIS E SUAS TECNOLOGIAS</v>
          </cell>
          <cell r="G110" t="str">
            <v>Educação</v>
          </cell>
          <cell r="H110">
            <v>12</v>
          </cell>
          <cell r="I110">
            <v>19</v>
          </cell>
          <cell r="J110">
            <v>367.39500000000004</v>
          </cell>
          <cell r="K110">
            <v>6980.505000000001</v>
          </cell>
          <cell r="L110">
            <v>0.4</v>
          </cell>
          <cell r="M110">
            <v>198.39</v>
          </cell>
          <cell r="N110">
            <v>3769.41</v>
          </cell>
          <cell r="O110">
            <v>0.46000898215816777</v>
          </cell>
          <cell r="P110">
            <v>0.45</v>
          </cell>
          <cell r="Q110">
            <v>181.86</v>
          </cell>
        </row>
        <row r="111">
          <cell r="F111" t="str">
            <v>ESPECIALIZAÇÃO EM COMUNICAÇÃO CORPORATIVA E GESTÃO DE CRISES</v>
          </cell>
          <cell r="G111" t="str">
            <v>Gestão</v>
          </cell>
          <cell r="H111">
            <v>12</v>
          </cell>
          <cell r="I111">
            <v>19</v>
          </cell>
          <cell r="J111">
            <v>320.60000000000002</v>
          </cell>
          <cell r="K111">
            <v>6091.4000000000005</v>
          </cell>
          <cell r="L111">
            <v>0.4</v>
          </cell>
          <cell r="M111">
            <v>173.12</v>
          </cell>
          <cell r="N111">
            <v>3289.28</v>
          </cell>
          <cell r="O111">
            <v>0.46001247660636313</v>
          </cell>
          <cell r="P111">
            <v>0.45</v>
          </cell>
          <cell r="Q111">
            <v>158.69999999999999</v>
          </cell>
        </row>
        <row r="112">
          <cell r="F112" t="str">
            <v>MBA EM INTELIGÊNCIA ARTIFICIAL PARA GESTORES</v>
          </cell>
          <cell r="G112" t="str">
            <v>Gestão</v>
          </cell>
          <cell r="H112">
            <v>12</v>
          </cell>
          <cell r="I112">
            <v>19</v>
          </cell>
          <cell r="J112">
            <v>320.60000000000002</v>
          </cell>
          <cell r="K112">
            <v>6091.4000000000005</v>
          </cell>
          <cell r="L112">
            <v>0.4</v>
          </cell>
          <cell r="M112">
            <v>173.12</v>
          </cell>
          <cell r="N112">
            <v>3289.28</v>
          </cell>
          <cell r="O112">
            <v>0.46001247660636313</v>
          </cell>
          <cell r="P112">
            <v>0.45</v>
          </cell>
          <cell r="Q112">
            <v>158.69999999999999</v>
          </cell>
        </row>
        <row r="113">
          <cell r="F113" t="e">
            <v>#N/A</v>
          </cell>
          <cell r="G113" t="str">
            <v>Tecnologia/Engenharia</v>
          </cell>
          <cell r="H113">
            <v>15</v>
          </cell>
          <cell r="I113">
            <v>19</v>
          </cell>
          <cell r="J113">
            <v>320.59937400000007</v>
          </cell>
          <cell r="K113">
            <v>6091.3881060000012</v>
          </cell>
          <cell r="L113">
            <v>0</v>
          </cell>
          <cell r="M113">
            <v>288.54000000000002</v>
          </cell>
          <cell r="N113">
            <v>5482.26</v>
          </cell>
          <cell r="O113">
            <v>9.9998242666562542E-2</v>
          </cell>
          <cell r="P113">
            <v>0.05</v>
          </cell>
          <cell r="Q113">
            <v>274.11</v>
          </cell>
        </row>
        <row r="115">
          <cell r="F115" t="str">
            <v>ESPECIALIZAÇÃO EM DIREITO CIVIL E PROCESSO CIVIL</v>
          </cell>
          <cell r="G115" t="str">
            <v>Direito</v>
          </cell>
          <cell r="H115">
            <v>12</v>
          </cell>
          <cell r="I115">
            <v>19</v>
          </cell>
          <cell r="J115">
            <v>291.43870800000002</v>
          </cell>
          <cell r="K115">
            <v>5537.3354520000003</v>
          </cell>
          <cell r="L115">
            <v>0.4</v>
          </cell>
          <cell r="M115">
            <v>157.38</v>
          </cell>
          <cell r="N115">
            <v>2990.22</v>
          </cell>
          <cell r="O115">
            <v>0.45998937107558135</v>
          </cell>
          <cell r="P115">
            <v>0.45</v>
          </cell>
          <cell r="Q115">
            <v>144.26</v>
          </cell>
        </row>
        <row r="116">
          <cell r="F116" t="str">
            <v>ESPECIALIZAÇÃO EM DIREITO MATERIAL E PROCESSUAL DO TRABALHO</v>
          </cell>
          <cell r="G116" t="str">
            <v>Direito</v>
          </cell>
          <cell r="H116">
            <v>12</v>
          </cell>
          <cell r="I116">
            <v>19</v>
          </cell>
          <cell r="J116">
            <v>291.43870800000002</v>
          </cell>
          <cell r="K116">
            <v>5537.3354520000003</v>
          </cell>
          <cell r="L116">
            <v>0.5</v>
          </cell>
          <cell r="M116">
            <v>131.15</v>
          </cell>
          <cell r="N116">
            <v>2491.85</v>
          </cell>
          <cell r="O116">
            <v>0.54999114256298443</v>
          </cell>
          <cell r="P116">
            <v>0.55000000000000004</v>
          </cell>
          <cell r="Q116">
            <v>118.03</v>
          </cell>
        </row>
        <row r="117">
          <cell r="F117" t="str">
            <v>ESPECIALIZAÇÃO EM DOCÊNCIA DO ENSINO SUPERIOR</v>
          </cell>
          <cell r="G117" t="str">
            <v>Educação</v>
          </cell>
          <cell r="H117">
            <v>12</v>
          </cell>
          <cell r="I117">
            <v>19</v>
          </cell>
          <cell r="J117">
            <v>291.43870800000002</v>
          </cell>
          <cell r="K117">
            <v>5537.3354520000003</v>
          </cell>
          <cell r="L117">
            <v>0.5</v>
          </cell>
          <cell r="M117">
            <v>131.15</v>
          </cell>
          <cell r="N117">
            <v>2491.85</v>
          </cell>
          <cell r="O117">
            <v>0.54999114256298443</v>
          </cell>
          <cell r="P117">
            <v>0.55000000000000004</v>
          </cell>
          <cell r="Q117">
            <v>118.03</v>
          </cell>
        </row>
        <row r="118">
          <cell r="F118" t="str">
            <v>ESPECIALIZAÇÃO EM GESTÃO DA EDUCAÇÃO</v>
          </cell>
          <cell r="G118" t="str">
            <v>Educação</v>
          </cell>
          <cell r="H118">
            <v>12</v>
          </cell>
          <cell r="I118">
            <v>19</v>
          </cell>
          <cell r="J118">
            <v>291.43870800000002</v>
          </cell>
          <cell r="K118">
            <v>5537.3354520000003</v>
          </cell>
          <cell r="L118">
            <v>0.5</v>
          </cell>
          <cell r="M118">
            <v>131.15</v>
          </cell>
          <cell r="N118">
            <v>2491.85</v>
          </cell>
          <cell r="O118">
            <v>0.54999114256298443</v>
          </cell>
          <cell r="P118">
            <v>0.55000000000000004</v>
          </cell>
          <cell r="Q118">
            <v>118.03</v>
          </cell>
        </row>
        <row r="119">
          <cell r="F119" t="str">
            <v>ESPECIALIZAÇÃO EM NUTRIÇÃO ESPORTIVA</v>
          </cell>
          <cell r="G119" t="str">
            <v>Saúde</v>
          </cell>
          <cell r="H119">
            <v>12</v>
          </cell>
          <cell r="I119">
            <v>19</v>
          </cell>
          <cell r="J119">
            <v>320.59937400000007</v>
          </cell>
          <cell r="K119">
            <v>6091.3881060000012</v>
          </cell>
          <cell r="L119">
            <v>0.4</v>
          </cell>
          <cell r="M119">
            <v>173.12</v>
          </cell>
          <cell r="N119">
            <v>3289.28</v>
          </cell>
          <cell r="O119">
            <v>0.46001142223066238</v>
          </cell>
          <cell r="P119">
            <v>0.45</v>
          </cell>
          <cell r="Q119">
            <v>158.69999999999999</v>
          </cell>
        </row>
        <row r="120">
          <cell r="F120" t="str">
            <v>ESPECIALIZAÇÃO EM PSICOPEDAGOGIA ESCOLAR</v>
          </cell>
          <cell r="G120" t="str">
            <v>Educação</v>
          </cell>
          <cell r="H120">
            <v>12</v>
          </cell>
          <cell r="I120">
            <v>19</v>
          </cell>
          <cell r="J120">
            <v>291.43870800000002</v>
          </cell>
          <cell r="K120">
            <v>5537.3354520000003</v>
          </cell>
          <cell r="L120">
            <v>0.3</v>
          </cell>
          <cell r="M120">
            <v>183.61</v>
          </cell>
          <cell r="N120">
            <v>3488.59</v>
          </cell>
          <cell r="O120">
            <v>0.36998759958817828</v>
          </cell>
          <cell r="P120">
            <v>0.35</v>
          </cell>
          <cell r="Q120">
            <v>170.49</v>
          </cell>
        </row>
        <row r="121">
          <cell r="F121" t="str">
            <v>MBA EM GESTÃO DE PESSOAS</v>
          </cell>
          <cell r="G121" t="str">
            <v>Gestão</v>
          </cell>
          <cell r="H121">
            <v>15</v>
          </cell>
          <cell r="I121">
            <v>19</v>
          </cell>
          <cell r="J121">
            <v>352.66770900000006</v>
          </cell>
          <cell r="K121">
            <v>6700.6864710000009</v>
          </cell>
          <cell r="L121">
            <v>0.5</v>
          </cell>
          <cell r="M121">
            <v>158.69999999999999</v>
          </cell>
          <cell r="N121">
            <v>3015.2999999999997</v>
          </cell>
          <cell r="O121">
            <v>0.55000133000552098</v>
          </cell>
          <cell r="P121">
            <v>0.55000000000000004</v>
          </cell>
          <cell r="Q121">
            <v>142.83000000000001</v>
          </cell>
        </row>
        <row r="122">
          <cell r="F122" t="str">
            <v>MBA EM GESTÃO EMPRESARIAL</v>
          </cell>
          <cell r="G122" t="str">
            <v>Gestão</v>
          </cell>
          <cell r="H122">
            <v>15</v>
          </cell>
          <cell r="I122">
            <v>19</v>
          </cell>
          <cell r="J122">
            <v>352.66770900000006</v>
          </cell>
          <cell r="K122">
            <v>6700.6864710000009</v>
          </cell>
          <cell r="L122">
            <v>0.3</v>
          </cell>
          <cell r="M122">
            <v>222.18</v>
          </cell>
          <cell r="N122">
            <v>4221.42</v>
          </cell>
          <cell r="O122">
            <v>0.37000186200772933</v>
          </cell>
          <cell r="P122">
            <v>0.35</v>
          </cell>
          <cell r="Q122">
            <v>206.31</v>
          </cell>
        </row>
        <row r="123">
          <cell r="F123" t="str">
            <v>ESPECIALIZAÇÃO EM FARMÁCIA CLÍNICA E ATENÇÃO FARMACÊUTICA</v>
          </cell>
          <cell r="G123" t="str">
            <v>Saúde</v>
          </cell>
          <cell r="H123">
            <v>12</v>
          </cell>
          <cell r="I123">
            <v>19</v>
          </cell>
          <cell r="J123">
            <v>320.59937400000007</v>
          </cell>
          <cell r="K123">
            <v>6091.3881060000012</v>
          </cell>
          <cell r="L123">
            <v>0.5</v>
          </cell>
          <cell r="M123">
            <v>144.27000000000001</v>
          </cell>
          <cell r="N123">
            <v>2741.13</v>
          </cell>
          <cell r="O123">
            <v>0.54999912133328133</v>
          </cell>
          <cell r="P123">
            <v>0.55000000000000004</v>
          </cell>
          <cell r="Q123">
            <v>129.84</v>
          </cell>
        </row>
        <row r="124">
          <cell r="F124" t="str">
            <v>ESPECIALIZAÇÃO EM NEUROEDUCAÇÃO</v>
          </cell>
          <cell r="G124" t="str">
            <v>Educação</v>
          </cell>
          <cell r="H124">
            <v>12</v>
          </cell>
          <cell r="I124">
            <v>19</v>
          </cell>
          <cell r="J124">
            <v>291.43870800000002</v>
          </cell>
          <cell r="K124">
            <v>5537.3354520000003</v>
          </cell>
          <cell r="L124">
            <v>0.3</v>
          </cell>
          <cell r="M124">
            <v>183.61</v>
          </cell>
          <cell r="N124">
            <v>3488.59</v>
          </cell>
          <cell r="O124">
            <v>0.36998759958817828</v>
          </cell>
          <cell r="P124">
            <v>0.35</v>
          </cell>
          <cell r="Q124">
            <v>170.49</v>
          </cell>
        </row>
        <row r="125">
          <cell r="F125" t="str">
            <v>MBA EM LOGÍSTICA EMPRESARIAL</v>
          </cell>
          <cell r="G125" t="str">
            <v>Gestão</v>
          </cell>
          <cell r="H125">
            <v>18</v>
          </cell>
          <cell r="I125">
            <v>19</v>
          </cell>
          <cell r="J125">
            <v>352.66770900000006</v>
          </cell>
          <cell r="K125">
            <v>6700.6864710000009</v>
          </cell>
          <cell r="L125">
            <v>0.3</v>
          </cell>
          <cell r="M125">
            <v>222.18</v>
          </cell>
          <cell r="N125">
            <v>4221.42</v>
          </cell>
          <cell r="O125">
            <v>0.37000186200772933</v>
          </cell>
          <cell r="P125">
            <v>0.35</v>
          </cell>
          <cell r="Q125">
            <v>206.31</v>
          </cell>
        </row>
        <row r="126">
          <cell r="F126" t="str">
            <v>MBA EM GERENCIAMENTO DE PROJETOS</v>
          </cell>
          <cell r="G126" t="str">
            <v>Gestão</v>
          </cell>
          <cell r="H126">
            <v>15</v>
          </cell>
          <cell r="I126">
            <v>19</v>
          </cell>
          <cell r="J126">
            <v>352.66770900000006</v>
          </cell>
          <cell r="K126">
            <v>6700.6864710000009</v>
          </cell>
          <cell r="L126">
            <v>0.3</v>
          </cell>
          <cell r="M126">
            <v>222.18</v>
          </cell>
          <cell r="N126">
            <v>4221.42</v>
          </cell>
          <cell r="O126">
            <v>0.37000186200772933</v>
          </cell>
          <cell r="P126">
            <v>0.35</v>
          </cell>
          <cell r="Q126">
            <v>206.31</v>
          </cell>
        </row>
        <row r="127">
          <cell r="F127" t="str">
            <v>MBA EM AUDITORIA E CONTROLADORIA</v>
          </cell>
          <cell r="G127" t="str">
            <v>Gestão</v>
          </cell>
          <cell r="H127">
            <v>15</v>
          </cell>
          <cell r="I127">
            <v>19</v>
          </cell>
          <cell r="J127">
            <v>352.66770900000006</v>
          </cell>
          <cell r="K127">
            <v>6700.6864710000009</v>
          </cell>
          <cell r="L127">
            <v>0.5</v>
          </cell>
          <cell r="M127">
            <v>158.69999999999999</v>
          </cell>
          <cell r="N127">
            <v>3015.2999999999997</v>
          </cell>
          <cell r="O127">
            <v>0.55000133000552098</v>
          </cell>
          <cell r="P127">
            <v>0.55000000000000004</v>
          </cell>
          <cell r="Q127">
            <v>142.83000000000001</v>
          </cell>
        </row>
        <row r="128">
          <cell r="F128" t="str">
            <v>ESPECIALIZAÇÃO EM ENFERMAGEM EM UNIDADE DE TERAPIA INTENSIVA</v>
          </cell>
          <cell r="G128" t="str">
            <v>Saúde</v>
          </cell>
          <cell r="H128">
            <v>12</v>
          </cell>
          <cell r="I128">
            <v>19</v>
          </cell>
          <cell r="J128">
            <v>320.59937400000007</v>
          </cell>
          <cell r="K128">
            <v>6091.3881060000012</v>
          </cell>
          <cell r="L128">
            <v>0.5</v>
          </cell>
          <cell r="M128">
            <v>144.27000000000001</v>
          </cell>
          <cell r="N128">
            <v>2741.13</v>
          </cell>
          <cell r="O128">
            <v>0.54999912133328133</v>
          </cell>
          <cell r="P128">
            <v>0.55000000000000004</v>
          </cell>
          <cell r="Q128">
            <v>129.84</v>
          </cell>
        </row>
        <row r="129">
          <cell r="F129" t="str">
            <v>ESPECIALIZAÇÃO EM FISIOTERAPIA TRAUMATO-ORTOPÉDICA E DESPORTIVA</v>
          </cell>
          <cell r="G129" t="str">
            <v>Saúde</v>
          </cell>
          <cell r="H129">
            <v>12</v>
          </cell>
          <cell r="I129">
            <v>19</v>
          </cell>
          <cell r="J129">
            <v>320.59937400000007</v>
          </cell>
          <cell r="K129">
            <v>6091.3881060000012</v>
          </cell>
          <cell r="L129">
            <v>0.5</v>
          </cell>
          <cell r="M129">
            <v>144.27000000000001</v>
          </cell>
          <cell r="N129">
            <v>2741.13</v>
          </cell>
          <cell r="O129">
            <v>0.54999912133328133</v>
          </cell>
          <cell r="P129">
            <v>0.55000000000000004</v>
          </cell>
          <cell r="Q129">
            <v>129.84</v>
          </cell>
        </row>
        <row r="130">
          <cell r="F130" t="str">
            <v>ESPECIALIZAÇÃO EM NUTRIÇÃO CLÍNICA</v>
          </cell>
          <cell r="G130" t="str">
            <v>Saúde</v>
          </cell>
          <cell r="H130">
            <v>12</v>
          </cell>
          <cell r="I130">
            <v>19</v>
          </cell>
          <cell r="J130">
            <v>320.59937400000007</v>
          </cell>
          <cell r="K130">
            <v>6091.3881060000012</v>
          </cell>
          <cell r="L130">
            <v>0.5</v>
          </cell>
          <cell r="M130">
            <v>144.27000000000001</v>
          </cell>
          <cell r="N130">
            <v>2741.13</v>
          </cell>
          <cell r="O130">
            <v>0.54999912133328133</v>
          </cell>
          <cell r="P130">
            <v>0.55000000000000004</v>
          </cell>
          <cell r="Q130">
            <v>129.84</v>
          </cell>
        </row>
        <row r="131">
          <cell r="F131" t="str">
            <v>ESPECIALIZAÇÃO EM PSICOLOGIA ORGANIZACIONAL E DO TRABALHO</v>
          </cell>
          <cell r="G131" t="str">
            <v>Saúde</v>
          </cell>
          <cell r="H131">
            <v>12</v>
          </cell>
          <cell r="I131">
            <v>19</v>
          </cell>
          <cell r="J131">
            <v>320.59937400000007</v>
          </cell>
          <cell r="K131">
            <v>6091.3881060000012</v>
          </cell>
          <cell r="L131">
            <v>0.5</v>
          </cell>
          <cell r="M131">
            <v>144.27000000000001</v>
          </cell>
          <cell r="N131">
            <v>2741.13</v>
          </cell>
          <cell r="O131">
            <v>0.54999912133328133</v>
          </cell>
          <cell r="P131">
            <v>0.55000000000000004</v>
          </cell>
          <cell r="Q131">
            <v>129.84</v>
          </cell>
        </row>
        <row r="132">
          <cell r="F132" t="str">
            <v>ESPECIALIZAÇÃO EM SAÚDE MENTAL E TERAPIAS COGNITIVAS</v>
          </cell>
          <cell r="G132" t="str">
            <v>Saúde</v>
          </cell>
          <cell r="H132">
            <v>12</v>
          </cell>
          <cell r="I132">
            <v>19</v>
          </cell>
          <cell r="J132">
            <v>320.59937400000007</v>
          </cell>
          <cell r="K132">
            <v>6091.3881060000012</v>
          </cell>
          <cell r="L132">
            <v>0.5</v>
          </cell>
          <cell r="M132">
            <v>144.27000000000001</v>
          </cell>
          <cell r="N132">
            <v>2741.13</v>
          </cell>
          <cell r="O132">
            <v>0.54999912133328133</v>
          </cell>
          <cell r="P132">
            <v>0.55000000000000004</v>
          </cell>
          <cell r="Q132">
            <v>129.84</v>
          </cell>
        </row>
        <row r="133">
          <cell r="F133" t="str">
            <v>ESPECIALIZAÇÃO EM SAÚDE PÚBLICA COM ÊNFASE EM ATENÇÃO BÁSICA</v>
          </cell>
          <cell r="G133" t="str">
            <v>Saúde</v>
          </cell>
          <cell r="H133">
            <v>12</v>
          </cell>
          <cell r="I133">
            <v>19</v>
          </cell>
          <cell r="J133">
            <v>320.59937400000007</v>
          </cell>
          <cell r="K133">
            <v>6091.3881060000012</v>
          </cell>
          <cell r="L133">
            <v>0.5</v>
          </cell>
          <cell r="M133">
            <v>144.27000000000001</v>
          </cell>
          <cell r="N133">
            <v>2741.13</v>
          </cell>
          <cell r="O133">
            <v>0.54999912133328133</v>
          </cell>
          <cell r="P133">
            <v>0.55000000000000004</v>
          </cell>
          <cell r="Q133">
            <v>129.84</v>
          </cell>
        </row>
        <row r="134">
          <cell r="F134" t="str">
            <v>MBA EM GESTÃO HOSPITALAR E SISTEMAS DE SAÚDE</v>
          </cell>
          <cell r="G134" t="str">
            <v>Gestão</v>
          </cell>
          <cell r="H134">
            <v>15</v>
          </cell>
          <cell r="I134">
            <v>19</v>
          </cell>
          <cell r="J134">
            <v>352.66770900000006</v>
          </cell>
          <cell r="K134">
            <v>6700.6864710000009</v>
          </cell>
          <cell r="L134">
            <v>0.5</v>
          </cell>
          <cell r="M134">
            <v>158.69999999999999</v>
          </cell>
          <cell r="N134">
            <v>3015.2999999999997</v>
          </cell>
          <cell r="O134">
            <v>0.55000133000552098</v>
          </cell>
          <cell r="P134">
            <v>0.55000000000000004</v>
          </cell>
          <cell r="Q134">
            <v>142.83000000000001</v>
          </cell>
        </row>
        <row r="135">
          <cell r="F135" t="str">
            <v>MBA EM EMPREENDEDORISMO E GESTÃO DE NEGÓCIOS</v>
          </cell>
          <cell r="G135" t="str">
            <v>Gestão</v>
          </cell>
          <cell r="H135">
            <v>15</v>
          </cell>
          <cell r="I135">
            <v>19</v>
          </cell>
          <cell r="J135">
            <v>352.66770900000006</v>
          </cell>
          <cell r="K135">
            <v>6700.6864710000009</v>
          </cell>
          <cell r="L135">
            <v>0.3</v>
          </cell>
          <cell r="M135">
            <v>222.18</v>
          </cell>
          <cell r="N135">
            <v>4221.42</v>
          </cell>
          <cell r="O135">
            <v>0.37000186200772933</v>
          </cell>
          <cell r="P135">
            <v>0.35</v>
          </cell>
          <cell r="Q135">
            <v>206.31</v>
          </cell>
        </row>
        <row r="136">
          <cell r="F136" t="str">
            <v>ESPECIALIZAÇÃO EM CIÊNCIAS CRIMINAIS</v>
          </cell>
          <cell r="G136" t="str">
            <v>Direito</v>
          </cell>
          <cell r="H136">
            <v>12</v>
          </cell>
          <cell r="I136">
            <v>19</v>
          </cell>
          <cell r="J136">
            <v>291.43870800000002</v>
          </cell>
          <cell r="K136">
            <v>5537.3354520000003</v>
          </cell>
          <cell r="L136">
            <v>0.3</v>
          </cell>
          <cell r="M136">
            <v>183.61</v>
          </cell>
          <cell r="N136">
            <v>3488.59</v>
          </cell>
          <cell r="O136">
            <v>0.36998759958817828</v>
          </cell>
          <cell r="P136">
            <v>0.35</v>
          </cell>
          <cell r="Q136">
            <v>170.49</v>
          </cell>
        </row>
        <row r="137">
          <cell r="F137" t="str">
            <v>ESPECIALIZAÇÃO EM DIREITO PENAL E PROCESSO PENAL</v>
          </cell>
          <cell r="G137" t="str">
            <v>Direito</v>
          </cell>
          <cell r="H137">
            <v>12</v>
          </cell>
          <cell r="I137">
            <v>19</v>
          </cell>
          <cell r="J137">
            <v>291.43870800000002</v>
          </cell>
          <cell r="K137">
            <v>5537.3354520000003</v>
          </cell>
          <cell r="L137">
            <v>0.5</v>
          </cell>
          <cell r="M137">
            <v>131.15</v>
          </cell>
          <cell r="N137">
            <v>2491.85</v>
          </cell>
          <cell r="O137">
            <v>0.54999114256298443</v>
          </cell>
          <cell r="P137">
            <v>0.55000000000000004</v>
          </cell>
          <cell r="Q137">
            <v>118.03</v>
          </cell>
        </row>
        <row r="138">
          <cell r="F138" t="str">
            <v>ESPECIALIZAÇÃO EM DIREITO DO TRABALHO E PREVIDENCIÁRIO</v>
          </cell>
          <cell r="G138" t="str">
            <v>Direito</v>
          </cell>
          <cell r="H138">
            <v>12</v>
          </cell>
          <cell r="I138">
            <v>19</v>
          </cell>
          <cell r="J138">
            <v>291.43870800000002</v>
          </cell>
          <cell r="K138">
            <v>5537.3354520000003</v>
          </cell>
          <cell r="L138">
            <v>0.5</v>
          </cell>
          <cell r="M138">
            <v>131.15</v>
          </cell>
          <cell r="N138">
            <v>2491.85</v>
          </cell>
          <cell r="O138">
            <v>0.54999114256298443</v>
          </cell>
          <cell r="P138">
            <v>0.55000000000000004</v>
          </cell>
          <cell r="Q138">
            <v>118.03</v>
          </cell>
        </row>
        <row r="139">
          <cell r="F139" t="str">
            <v>ESPECIALIZAÇÃO EM BANCO DE DADOS ORACLE</v>
          </cell>
          <cell r="G139" t="str">
            <v>Tecnologia/Engenharia</v>
          </cell>
          <cell r="H139">
            <v>12</v>
          </cell>
          <cell r="I139">
            <v>19</v>
          </cell>
          <cell r="J139">
            <v>320.59937400000007</v>
          </cell>
          <cell r="K139">
            <v>6091.3881060000012</v>
          </cell>
          <cell r="L139">
            <v>0.5</v>
          </cell>
          <cell r="M139">
            <v>144.27000000000001</v>
          </cell>
          <cell r="N139">
            <v>2741.13</v>
          </cell>
          <cell r="O139">
            <v>0.54999912133328133</v>
          </cell>
          <cell r="P139">
            <v>0.55000000000000004</v>
          </cell>
          <cell r="Q139">
            <v>129.84</v>
          </cell>
        </row>
        <row r="140">
          <cell r="F140" t="str">
            <v>ESPECIALIZAÇÃO EM GESTÃO DE DEPARTAMENTO PESSOAL E LEGISLAÇÃO TRABALHISTA</v>
          </cell>
          <cell r="G140" t="str">
            <v>Gestão</v>
          </cell>
          <cell r="H140">
            <v>15</v>
          </cell>
          <cell r="I140">
            <v>19</v>
          </cell>
          <cell r="J140">
            <v>352.66770900000006</v>
          </cell>
          <cell r="K140">
            <v>6700.6864710000009</v>
          </cell>
          <cell r="L140">
            <v>0.3</v>
          </cell>
          <cell r="M140">
            <v>222.18</v>
          </cell>
          <cell r="N140">
            <v>4221.42</v>
          </cell>
          <cell r="O140">
            <v>0.37000186200772933</v>
          </cell>
          <cell r="P140">
            <v>0.35</v>
          </cell>
          <cell r="Q140">
            <v>206.31</v>
          </cell>
        </row>
        <row r="141">
          <cell r="F141" t="str">
            <v>ESPECIALIZAÇÃO EM LIBRAS, SAÚDE E EDUCAÇÃO ESPECIAL E INCLUSIVA</v>
          </cell>
          <cell r="G141" t="str">
            <v>Educação</v>
          </cell>
          <cell r="H141">
            <v>12</v>
          </cell>
          <cell r="I141">
            <v>19</v>
          </cell>
          <cell r="J141">
            <v>291.43870800000002</v>
          </cell>
          <cell r="K141">
            <v>5537.3354520000003</v>
          </cell>
          <cell r="L141">
            <v>0.4</v>
          </cell>
          <cell r="M141">
            <v>157.38</v>
          </cell>
          <cell r="N141">
            <v>2990.22</v>
          </cell>
          <cell r="O141">
            <v>0.45998937107558135</v>
          </cell>
          <cell r="P141">
            <v>0.45</v>
          </cell>
          <cell r="Q141">
            <v>144.26</v>
          </cell>
        </row>
        <row r="142">
          <cell r="F142" t="str">
            <v>ESPECIALIZAÇÃO EM ENFERMAGEM EM URGÊNCIA E EMERGÊNCIA</v>
          </cell>
          <cell r="G142" t="str">
            <v>Saúde</v>
          </cell>
          <cell r="H142">
            <v>12</v>
          </cell>
          <cell r="I142">
            <v>19</v>
          </cell>
          <cell r="J142">
            <v>320.59937400000007</v>
          </cell>
          <cell r="K142">
            <v>6091.3881060000012</v>
          </cell>
          <cell r="L142">
            <v>0.5</v>
          </cell>
          <cell r="M142">
            <v>144.27000000000001</v>
          </cell>
          <cell r="N142">
            <v>2741.13</v>
          </cell>
          <cell r="O142">
            <v>0.54999912133328133</v>
          </cell>
          <cell r="P142">
            <v>0.55000000000000004</v>
          </cell>
          <cell r="Q142">
            <v>129.84</v>
          </cell>
        </row>
        <row r="143">
          <cell r="F143" t="str">
            <v>MBA EM GESTÃO TRIBUTÁRIA</v>
          </cell>
          <cell r="G143" t="str">
            <v>Gestão</v>
          </cell>
          <cell r="H143">
            <v>15</v>
          </cell>
          <cell r="I143">
            <v>19</v>
          </cell>
          <cell r="J143">
            <v>352.66770900000006</v>
          </cell>
          <cell r="K143">
            <v>6700.6864710000009</v>
          </cell>
          <cell r="L143">
            <v>0.5</v>
          </cell>
          <cell r="M143">
            <v>158.69999999999999</v>
          </cell>
          <cell r="N143">
            <v>3015.2999999999997</v>
          </cell>
          <cell r="O143">
            <v>0.55000133000552098</v>
          </cell>
          <cell r="P143">
            <v>0.55000000000000004</v>
          </cell>
          <cell r="Q143">
            <v>142.83000000000001</v>
          </cell>
        </row>
        <row r="144">
          <cell r="F144" t="str">
            <v>ESPECIALIZAÇÃO EM PSICOPEDAGOGIA CLÍNICA, INSTITUCIONAL E HOSPITALAR</v>
          </cell>
          <cell r="G144" t="str">
            <v>Educação</v>
          </cell>
          <cell r="H144">
            <v>18</v>
          </cell>
          <cell r="I144">
            <v>19</v>
          </cell>
          <cell r="J144">
            <v>419.73304200000007</v>
          </cell>
          <cell r="K144">
            <v>7974.9277980000015</v>
          </cell>
          <cell r="L144">
            <v>0.5</v>
          </cell>
          <cell r="M144">
            <v>188.88</v>
          </cell>
          <cell r="N144">
            <v>3588.72</v>
          </cell>
          <cell r="O144">
            <v>0.54999968765861429</v>
          </cell>
          <cell r="P144">
            <v>0.55000000000000004</v>
          </cell>
          <cell r="Q144">
            <v>169.99</v>
          </cell>
        </row>
        <row r="145">
          <cell r="F145" t="str">
            <v>ESPECIALIZAÇÃO EM GESTÃO TRIBUTÁRIA, TRABALHISTA E PREVIDENCIÁRIA</v>
          </cell>
          <cell r="G145" t="str">
            <v>Gestão</v>
          </cell>
          <cell r="H145">
            <v>15</v>
          </cell>
          <cell r="I145">
            <v>19</v>
          </cell>
          <cell r="J145">
            <v>352.66770900000006</v>
          </cell>
          <cell r="K145">
            <v>6700.6864710000009</v>
          </cell>
          <cell r="L145">
            <v>0.5</v>
          </cell>
          <cell r="M145">
            <v>158.69999999999999</v>
          </cell>
          <cell r="N145">
            <v>3015.2999999999997</v>
          </cell>
          <cell r="O145">
            <v>0.55000133000552098</v>
          </cell>
          <cell r="P145">
            <v>0.55000000000000004</v>
          </cell>
          <cell r="Q145">
            <v>142.83000000000001</v>
          </cell>
        </row>
        <row r="146">
          <cell r="F146" t="str">
            <v>MBA EM GESTÃO DA QUALIDADE EM SAÚDE</v>
          </cell>
          <cell r="G146" t="str">
            <v>Gestão</v>
          </cell>
          <cell r="H146">
            <v>15</v>
          </cell>
          <cell r="I146">
            <v>19</v>
          </cell>
          <cell r="J146">
            <v>352.66770900000006</v>
          </cell>
          <cell r="K146">
            <v>6700.6864710000009</v>
          </cell>
          <cell r="L146">
            <v>0.3</v>
          </cell>
          <cell r="M146">
            <v>222.18</v>
          </cell>
          <cell r="N146">
            <v>4221.42</v>
          </cell>
          <cell r="O146">
            <v>0.37000186200772933</v>
          </cell>
          <cell r="P146">
            <v>0.35</v>
          </cell>
          <cell r="Q146">
            <v>206.31</v>
          </cell>
        </row>
        <row r="147">
          <cell r="F147" t="str">
            <v>ESPECIALIZAÇÃO EM REMUNERAÇÃO ESTRATÉGICA</v>
          </cell>
          <cell r="G147" t="str">
            <v>Gestão</v>
          </cell>
          <cell r="H147">
            <v>15</v>
          </cell>
          <cell r="I147">
            <v>19</v>
          </cell>
          <cell r="J147">
            <v>801.70837500000005</v>
          </cell>
          <cell r="K147">
            <v>15232.459125000001</v>
          </cell>
          <cell r="L147">
            <v>0</v>
          </cell>
          <cell r="M147">
            <v>721.54</v>
          </cell>
          <cell r="N147">
            <v>13709.259999999998</v>
          </cell>
          <cell r="O147">
            <v>9.9996928434232801E-2</v>
          </cell>
          <cell r="P147">
            <v>0</v>
          </cell>
          <cell r="Q147">
            <v>721.54</v>
          </cell>
        </row>
        <row r="148">
          <cell r="F148" t="str">
            <v>ESPECIALIZAÇÃO EM COMERCIALIZAÇÃO DE ENERGIA ELÉTRICA</v>
          </cell>
          <cell r="G148" t="str">
            <v>Gestão</v>
          </cell>
          <cell r="H148">
            <v>12</v>
          </cell>
          <cell r="I148">
            <v>19</v>
          </cell>
          <cell r="J148">
            <v>583.02437399999997</v>
          </cell>
          <cell r="K148">
            <v>11077.463105999999</v>
          </cell>
          <cell r="L148">
            <v>0.5</v>
          </cell>
          <cell r="M148">
            <v>262.36</v>
          </cell>
          <cell r="N148">
            <v>4984.84</v>
          </cell>
          <cell r="O148">
            <v>0.55000166082250268</v>
          </cell>
          <cell r="P148">
            <v>0.55000000000000004</v>
          </cell>
          <cell r="Q148">
            <v>236.12</v>
          </cell>
        </row>
        <row r="149">
          <cell r="F149" t="str">
            <v>MBA EM GESTÃO DE RISCOS, COMPLIANCE E LGPD</v>
          </cell>
          <cell r="G149" t="str">
            <v>Gestão</v>
          </cell>
          <cell r="H149">
            <v>15</v>
          </cell>
          <cell r="I149">
            <v>19</v>
          </cell>
          <cell r="J149">
            <v>352.66770900000006</v>
          </cell>
          <cell r="K149">
            <v>6700.6864710000009</v>
          </cell>
          <cell r="L149">
            <v>0.3</v>
          </cell>
          <cell r="M149">
            <v>222.18</v>
          </cell>
          <cell r="N149">
            <v>4221.42</v>
          </cell>
          <cell r="O149">
            <v>0.37000186200772933</v>
          </cell>
          <cell r="P149">
            <v>0.35</v>
          </cell>
          <cell r="Q149">
            <v>206.31</v>
          </cell>
        </row>
        <row r="150">
          <cell r="F150" t="str">
            <v>MBA EM INOVAÇÃO, DESIGN E ESTRATÉGIA</v>
          </cell>
          <cell r="G150" t="str">
            <v>Gestão</v>
          </cell>
          <cell r="H150">
            <v>15</v>
          </cell>
          <cell r="I150">
            <v>19</v>
          </cell>
          <cell r="J150">
            <v>352.66770900000006</v>
          </cell>
          <cell r="K150">
            <v>6700.6864710000009</v>
          </cell>
          <cell r="L150">
            <v>0.4</v>
          </cell>
          <cell r="M150">
            <v>190.44</v>
          </cell>
          <cell r="N150">
            <v>3618.36</v>
          </cell>
          <cell r="O150">
            <v>0.46000159600662516</v>
          </cell>
          <cell r="P150">
            <v>0.45</v>
          </cell>
          <cell r="Q150">
            <v>174.57</v>
          </cell>
        </row>
        <row r="151">
          <cell r="F151" t="str">
            <v>MBA EM GESTÃO EXECUTIVA DE VENDAS 5.0</v>
          </cell>
          <cell r="G151" t="str">
            <v>Gestão</v>
          </cell>
          <cell r="H151">
            <v>15</v>
          </cell>
          <cell r="I151">
            <v>19</v>
          </cell>
          <cell r="J151">
            <v>352.66770900000006</v>
          </cell>
          <cell r="K151">
            <v>6700.6864710000009</v>
          </cell>
          <cell r="L151">
            <v>0.5</v>
          </cell>
          <cell r="M151">
            <v>158.69999999999999</v>
          </cell>
          <cell r="N151">
            <v>3015.2999999999997</v>
          </cell>
          <cell r="O151">
            <v>0.55000133000552098</v>
          </cell>
          <cell r="P151">
            <v>0.55000000000000004</v>
          </cell>
          <cell r="Q151">
            <v>142.83000000000001</v>
          </cell>
        </row>
        <row r="152">
          <cell r="F152" t="str">
            <v>MBA EM INDÚSTRIA 5.0</v>
          </cell>
          <cell r="G152" t="str">
            <v>Gestão</v>
          </cell>
          <cell r="H152">
            <v>15</v>
          </cell>
          <cell r="I152">
            <v>19</v>
          </cell>
          <cell r="J152">
            <v>352.66770900000006</v>
          </cell>
          <cell r="K152">
            <v>6700.6864710000009</v>
          </cell>
          <cell r="L152">
            <v>0.4</v>
          </cell>
          <cell r="M152">
            <v>190.44</v>
          </cell>
          <cell r="N152">
            <v>3618.36</v>
          </cell>
          <cell r="O152">
            <v>0.46000159600662516</v>
          </cell>
          <cell r="P152">
            <v>0.45</v>
          </cell>
          <cell r="Q152">
            <v>174.57</v>
          </cell>
        </row>
        <row r="153">
          <cell r="F153" t="str">
            <v>ESPECIALIZAÇÃO EM COACHING E DESENVOLVIMENTO DE LIDERANÇAS</v>
          </cell>
          <cell r="G153" t="str">
            <v>Gestão</v>
          </cell>
          <cell r="H153">
            <v>12</v>
          </cell>
          <cell r="I153">
            <v>19</v>
          </cell>
          <cell r="J153">
            <v>352.66770900000006</v>
          </cell>
          <cell r="K153">
            <v>6700.6864710000009</v>
          </cell>
          <cell r="L153">
            <v>0.3</v>
          </cell>
          <cell r="M153">
            <v>222.18</v>
          </cell>
          <cell r="N153">
            <v>4221.42</v>
          </cell>
          <cell r="O153">
            <v>0.37000186200772933</v>
          </cell>
          <cell r="P153">
            <v>0.35</v>
          </cell>
          <cell r="Q153">
            <v>206.31</v>
          </cell>
        </row>
        <row r="154">
          <cell r="F154" t="str">
            <v>ESPECIALIZAÇÃO EM FISIOTERAPIA DERMATOFUNCIONAL</v>
          </cell>
          <cell r="G154" t="str">
            <v>Saúde</v>
          </cell>
          <cell r="H154">
            <v>12</v>
          </cell>
          <cell r="I154">
            <v>19</v>
          </cell>
          <cell r="J154">
            <v>320.59937400000007</v>
          </cell>
          <cell r="K154">
            <v>6091.3881060000012</v>
          </cell>
          <cell r="L154">
            <v>0.4</v>
          </cell>
          <cell r="M154">
            <v>173.12</v>
          </cell>
          <cell r="N154">
            <v>3289.28</v>
          </cell>
          <cell r="O154">
            <v>0.46001142223066238</v>
          </cell>
          <cell r="P154">
            <v>0.45</v>
          </cell>
          <cell r="Q154">
            <v>158.69999999999999</v>
          </cell>
        </row>
        <row r="155">
          <cell r="F155" t="str">
            <v>ESPECIALIZAÇÃO EM FISIOTERAPIA EM UNIDADE DE TERAPIA INTENSIVA</v>
          </cell>
          <cell r="G155" t="str">
            <v>Saúde</v>
          </cell>
          <cell r="H155">
            <v>12</v>
          </cell>
          <cell r="I155">
            <v>19</v>
          </cell>
          <cell r="J155">
            <v>320.59937400000007</v>
          </cell>
          <cell r="K155">
            <v>6091.3881060000012</v>
          </cell>
          <cell r="L155">
            <v>0.3</v>
          </cell>
          <cell r="M155">
            <v>201.98</v>
          </cell>
          <cell r="N155">
            <v>3837.62</v>
          </cell>
          <cell r="O155">
            <v>0.36999253155123146</v>
          </cell>
          <cell r="P155">
            <v>0.35</v>
          </cell>
          <cell r="Q155">
            <v>187.55</v>
          </cell>
        </row>
        <row r="156">
          <cell r="F156" t="str">
            <v>ESPECIALIZAÇÃO EM ANÁLISES CLÍNICAS E DIAGNÓSTICO LABORATORIAL</v>
          </cell>
          <cell r="G156" t="str">
            <v>Saúde</v>
          </cell>
          <cell r="H156">
            <v>12</v>
          </cell>
          <cell r="I156">
            <v>19</v>
          </cell>
          <cell r="J156">
            <v>320.59937400000007</v>
          </cell>
          <cell r="K156">
            <v>6091.3881060000012</v>
          </cell>
          <cell r="L156">
            <v>0.5</v>
          </cell>
          <cell r="M156">
            <v>144.27000000000001</v>
          </cell>
          <cell r="N156">
            <v>2741.13</v>
          </cell>
          <cell r="O156">
            <v>0.54999912133328133</v>
          </cell>
          <cell r="P156">
            <v>0.55000000000000004</v>
          </cell>
          <cell r="Q156">
            <v>129.84</v>
          </cell>
        </row>
        <row r="157">
          <cell r="F157" t="str">
            <v>ESPECIALIZAÇÃO EM NEUROCIÊNCIAS E COMPORTAMENTO HUMANO</v>
          </cell>
          <cell r="G157" t="str">
            <v>Saúde</v>
          </cell>
          <cell r="H157">
            <v>12</v>
          </cell>
          <cell r="I157">
            <v>19</v>
          </cell>
          <cell r="J157">
            <v>320.59937400000007</v>
          </cell>
          <cell r="K157">
            <v>6091.3881060000012</v>
          </cell>
          <cell r="L157">
            <v>0.5</v>
          </cell>
          <cell r="M157">
            <v>144.27000000000001</v>
          </cell>
          <cell r="N157">
            <v>2741.13</v>
          </cell>
          <cell r="O157">
            <v>0.54999912133328133</v>
          </cell>
          <cell r="P157">
            <v>0.55000000000000004</v>
          </cell>
          <cell r="Q157">
            <v>129.84</v>
          </cell>
        </row>
        <row r="158">
          <cell r="F158" t="str">
            <v>MBA EM DATA SCIENCE, ANALYTICS e BI</v>
          </cell>
          <cell r="G158" t="str">
            <v>Tecnologia/Engenharia</v>
          </cell>
          <cell r="H158">
            <v>15</v>
          </cell>
          <cell r="I158">
            <v>19</v>
          </cell>
          <cell r="J158">
            <v>352.66770900000006</v>
          </cell>
          <cell r="K158">
            <v>6700.6864710000009</v>
          </cell>
          <cell r="L158">
            <v>0.4</v>
          </cell>
          <cell r="M158">
            <v>190.44</v>
          </cell>
          <cell r="N158">
            <v>3618.36</v>
          </cell>
          <cell r="O158">
            <v>0.46000159600662516</v>
          </cell>
          <cell r="P158">
            <v>0.45</v>
          </cell>
          <cell r="Q158">
            <v>174.57</v>
          </cell>
        </row>
        <row r="159">
          <cell r="F159" t="str">
            <v>ESPECIALIZAÇÃO EM SEXOLOGIA E SEXUALIDADE HUMANA</v>
          </cell>
          <cell r="G159" t="str">
            <v>Saúde</v>
          </cell>
          <cell r="H159">
            <v>12</v>
          </cell>
          <cell r="I159">
            <v>19</v>
          </cell>
          <cell r="J159">
            <v>320.59937400000007</v>
          </cell>
          <cell r="K159">
            <v>6091.3881060000012</v>
          </cell>
          <cell r="L159">
            <v>0.5</v>
          </cell>
          <cell r="M159">
            <v>144.27000000000001</v>
          </cell>
          <cell r="N159">
            <v>2741.13</v>
          </cell>
          <cell r="O159">
            <v>0.54999912133328133</v>
          </cell>
          <cell r="P159">
            <v>0.55000000000000004</v>
          </cell>
          <cell r="Q159">
            <v>129.84</v>
          </cell>
        </row>
        <row r="160">
          <cell r="F160" t="str">
            <v>ESPECIALIZAÇÃO EM SEGURANÇA DA INFORMAÇÃO</v>
          </cell>
          <cell r="G160" t="str">
            <v>Tecnologia/Engenharia</v>
          </cell>
          <cell r="H160">
            <v>12</v>
          </cell>
          <cell r="I160">
            <v>19</v>
          </cell>
          <cell r="J160">
            <v>320.59937400000007</v>
          </cell>
          <cell r="K160">
            <v>6091.3881060000012</v>
          </cell>
          <cell r="L160">
            <v>0.4</v>
          </cell>
          <cell r="M160">
            <v>173.12</v>
          </cell>
          <cell r="N160">
            <v>3289.28</v>
          </cell>
          <cell r="O160">
            <v>0.46001142223066238</v>
          </cell>
          <cell r="P160">
            <v>0.45</v>
          </cell>
          <cell r="Q160">
            <v>158.69999999999999</v>
          </cell>
        </row>
        <row r="161">
          <cell r="F161" t="str">
            <v>ESPECIALIZAÇÃO EM TESTE E QUALIDADE DE SOFTWARE</v>
          </cell>
          <cell r="G161" t="str">
            <v>Tecnologia/Engenharia</v>
          </cell>
          <cell r="H161">
            <v>12</v>
          </cell>
          <cell r="I161">
            <v>19</v>
          </cell>
          <cell r="J161">
            <v>320.59937400000007</v>
          </cell>
          <cell r="K161">
            <v>6091.3881060000012</v>
          </cell>
          <cell r="L161">
            <v>0.3</v>
          </cell>
          <cell r="M161">
            <v>201.98</v>
          </cell>
          <cell r="N161">
            <v>3837.62</v>
          </cell>
          <cell r="O161">
            <v>0.36999253155123146</v>
          </cell>
          <cell r="P161">
            <v>0.35</v>
          </cell>
          <cell r="Q161">
            <v>187.55</v>
          </cell>
        </row>
        <row r="162">
          <cell r="F162" t="str">
            <v>ESPECIALIZAÇÃO EM DIREITO DIGITAL, INOVAÇÃO E STARTUPS</v>
          </cell>
          <cell r="G162" t="str">
            <v>Direito</v>
          </cell>
          <cell r="H162">
            <v>12</v>
          </cell>
          <cell r="I162">
            <v>19</v>
          </cell>
          <cell r="J162">
            <v>291.43870800000002</v>
          </cell>
          <cell r="K162">
            <v>5537.3354520000003</v>
          </cell>
          <cell r="L162">
            <v>0.5</v>
          </cell>
          <cell r="M162">
            <v>131.15</v>
          </cell>
          <cell r="N162">
            <v>2491.85</v>
          </cell>
          <cell r="O162">
            <v>0.54999114256298443</v>
          </cell>
          <cell r="P162">
            <v>0.55000000000000004</v>
          </cell>
          <cell r="Q162">
            <v>118.03</v>
          </cell>
        </row>
        <row r="163">
          <cell r="F163" t="str">
            <v>ESPECIALIZAÇÃO EM DIREITO LICITATÓRIO E CONTRATAÇÕES PÚBLICAS</v>
          </cell>
          <cell r="G163" t="str">
            <v>Direito</v>
          </cell>
          <cell r="H163">
            <v>12</v>
          </cell>
          <cell r="I163">
            <v>19</v>
          </cell>
          <cell r="J163">
            <v>291.43870800000002</v>
          </cell>
          <cell r="K163">
            <v>5537.3354520000003</v>
          </cell>
          <cell r="L163">
            <v>0.3</v>
          </cell>
          <cell r="M163">
            <v>183.61</v>
          </cell>
          <cell r="N163">
            <v>3488.59</v>
          </cell>
          <cell r="O163">
            <v>0.36998759958817828</v>
          </cell>
          <cell r="P163">
            <v>0.35</v>
          </cell>
          <cell r="Q163">
            <v>170.49</v>
          </cell>
        </row>
        <row r="164">
          <cell r="F164" t="str">
            <v>ESPECIALIZAÇÃO EM DIREITO PROCESSUAL: ADMIN., CONSTITUCIONAL, CIVIL, PENAL, TRABALHISTA E TRIBUTÁRIO</v>
          </cell>
          <cell r="G164" t="str">
            <v>Direito</v>
          </cell>
          <cell r="H164">
            <v>12</v>
          </cell>
          <cell r="I164">
            <v>19</v>
          </cell>
          <cell r="J164">
            <v>291.43870800000002</v>
          </cell>
          <cell r="K164">
            <v>5537.3354520000003</v>
          </cell>
          <cell r="L164">
            <v>0.5</v>
          </cell>
          <cell r="M164">
            <v>131.15</v>
          </cell>
          <cell r="N164">
            <v>2491.85</v>
          </cell>
          <cell r="O164">
            <v>0.54999114256298443</v>
          </cell>
          <cell r="P164">
            <v>0.55000000000000004</v>
          </cell>
          <cell r="Q164">
            <v>118.03</v>
          </cell>
        </row>
        <row r="165">
          <cell r="F165" t="str">
            <v>ESPECIALIZAÇÃO EM DIREITO PÚBLICO: CONSTITUCIONAL, ADMINISTRATIVO E TRIBUTÁRIO</v>
          </cell>
          <cell r="G165" t="str">
            <v>Direito</v>
          </cell>
          <cell r="H165">
            <v>12</v>
          </cell>
          <cell r="I165">
            <v>19</v>
          </cell>
          <cell r="J165">
            <v>291.43870800000002</v>
          </cell>
          <cell r="K165">
            <v>5537.3354520000003</v>
          </cell>
          <cell r="L165">
            <v>0.4</v>
          </cell>
          <cell r="M165">
            <v>157.38</v>
          </cell>
          <cell r="N165">
            <v>2990.22</v>
          </cell>
          <cell r="O165">
            <v>0.45998937107558135</v>
          </cell>
          <cell r="P165">
            <v>0.45</v>
          </cell>
          <cell r="Q165">
            <v>144.26</v>
          </cell>
        </row>
        <row r="166">
          <cell r="F166" t="str">
            <v>ESPECIALIZAÇÃO EM DIREITO PÚBLICO COM ÊNFASE EM CONSTITUCIONAL E ADMINISTRATIVO</v>
          </cell>
          <cell r="G166" t="str">
            <v>Direito</v>
          </cell>
          <cell r="H166">
            <v>12</v>
          </cell>
          <cell r="I166">
            <v>19</v>
          </cell>
          <cell r="J166">
            <v>291.43870800000002</v>
          </cell>
          <cell r="K166">
            <v>5537.3354520000003</v>
          </cell>
          <cell r="L166">
            <v>0.5</v>
          </cell>
          <cell r="M166">
            <v>131.15</v>
          </cell>
          <cell r="N166">
            <v>2491.85</v>
          </cell>
          <cell r="O166">
            <v>0.54999114256298443</v>
          </cell>
          <cell r="P166">
            <v>0.55000000000000004</v>
          </cell>
          <cell r="Q166">
            <v>118.03</v>
          </cell>
        </row>
        <row r="167">
          <cell r="F167" t="str">
            <v>ESPECIALIZAÇÃO EM NEUROMARKETING &amp; CIÊNCIA DO CONSUMO</v>
          </cell>
          <cell r="G167" t="str">
            <v>Comunicação</v>
          </cell>
          <cell r="H167">
            <v>12</v>
          </cell>
          <cell r="I167">
            <v>19</v>
          </cell>
          <cell r="J167">
            <v>320.59937400000007</v>
          </cell>
          <cell r="K167">
            <v>6091.3881060000012</v>
          </cell>
          <cell r="L167">
            <v>0.5</v>
          </cell>
          <cell r="M167">
            <v>144.27000000000001</v>
          </cell>
          <cell r="N167">
            <v>2741.13</v>
          </cell>
          <cell r="O167">
            <v>0.54999912133328133</v>
          </cell>
          <cell r="P167">
            <v>0.55000000000000004</v>
          </cell>
          <cell r="Q167">
            <v>129.84</v>
          </cell>
        </row>
        <row r="168">
          <cell r="F168" t="str">
            <v>ESPECIALIZAÇÃO EM ALFABETIZAÇÃO E LETRAMENTO</v>
          </cell>
          <cell r="G168" t="str">
            <v>Educação</v>
          </cell>
          <cell r="H168">
            <v>12</v>
          </cell>
          <cell r="I168">
            <v>19</v>
          </cell>
          <cell r="J168">
            <v>291.43870800000002</v>
          </cell>
          <cell r="K168">
            <v>5537.3354520000003</v>
          </cell>
          <cell r="L168">
            <v>0.5</v>
          </cell>
          <cell r="M168">
            <v>131.15</v>
          </cell>
          <cell r="N168">
            <v>2491.85</v>
          </cell>
          <cell r="O168">
            <v>0.54999114256298443</v>
          </cell>
          <cell r="P168">
            <v>0.55000000000000004</v>
          </cell>
          <cell r="Q168">
            <v>118.03</v>
          </cell>
        </row>
        <row r="169">
          <cell r="F169" t="str">
            <v>ESPECIALIZAÇÃO EM TEA – TRANSTORNO DO ESPECTRO AUTISTA</v>
          </cell>
          <cell r="G169" t="str">
            <v>Educação</v>
          </cell>
          <cell r="H169">
            <v>12</v>
          </cell>
          <cell r="I169">
            <v>19</v>
          </cell>
          <cell r="J169">
            <v>291.43870800000002</v>
          </cell>
          <cell r="K169">
            <v>5537.3354520000003</v>
          </cell>
          <cell r="L169">
            <v>0.3</v>
          </cell>
          <cell r="M169">
            <v>183.61</v>
          </cell>
          <cell r="N169">
            <v>3488.59</v>
          </cell>
          <cell r="O169">
            <v>0.36998759958817828</v>
          </cell>
          <cell r="P169">
            <v>0.35</v>
          </cell>
          <cell r="Q169">
            <v>170.49</v>
          </cell>
        </row>
        <row r="170">
          <cell r="F170" t="str">
            <v>ESPECIALIZAÇÃO EM LINGUÍSTICA E ENSINO DA LÍNGUA PORTUGUESA</v>
          </cell>
          <cell r="G170" t="str">
            <v>Educação</v>
          </cell>
          <cell r="H170">
            <v>12</v>
          </cell>
          <cell r="I170">
            <v>19</v>
          </cell>
          <cell r="J170">
            <v>291.43870800000002</v>
          </cell>
          <cell r="K170">
            <v>5537.3354520000003</v>
          </cell>
          <cell r="L170">
            <v>0.4</v>
          </cell>
          <cell r="M170">
            <v>157.38</v>
          </cell>
          <cell r="N170">
            <v>2990.22</v>
          </cell>
          <cell r="O170">
            <v>0.45998937107558135</v>
          </cell>
          <cell r="P170">
            <v>0.45</v>
          </cell>
          <cell r="Q170">
            <v>144.26</v>
          </cell>
        </row>
        <row r="171">
          <cell r="F171" t="str">
            <v>ESPECIALIZAÇÃO EM FISIOLOGIA, CINESIOLOGIA E BIOMECÂNICA APLICADAS AO EXERCÍCIO</v>
          </cell>
          <cell r="G171" t="str">
            <v>Saúde</v>
          </cell>
          <cell r="H171">
            <v>12</v>
          </cell>
          <cell r="I171">
            <v>19</v>
          </cell>
          <cell r="J171">
            <v>320.59937400000007</v>
          </cell>
          <cell r="K171">
            <v>6091.3881060000012</v>
          </cell>
          <cell r="L171">
            <v>0.5</v>
          </cell>
          <cell r="M171">
            <v>144.27000000000001</v>
          </cell>
          <cell r="N171">
            <v>2741.13</v>
          </cell>
          <cell r="O171">
            <v>0.54999912133328133</v>
          </cell>
          <cell r="P171">
            <v>0.55000000000000004</v>
          </cell>
          <cell r="Q171">
            <v>129.84</v>
          </cell>
        </row>
        <row r="172">
          <cell r="F172" t="str">
            <v>ESPECIALIZAÇÃO EM IMAGINOLOGIA COM ÊNFASE EM TOMOGRAFIA COMPUTADORIZADA E RESSONÂNCIA MAGNÉTICA</v>
          </cell>
          <cell r="G172" t="str">
            <v>Saúde</v>
          </cell>
          <cell r="H172">
            <v>12</v>
          </cell>
          <cell r="I172">
            <v>19</v>
          </cell>
          <cell r="J172">
            <v>320.59937400000007</v>
          </cell>
          <cell r="K172">
            <v>6091.3881060000012</v>
          </cell>
          <cell r="L172">
            <v>0.5</v>
          </cell>
          <cell r="M172">
            <v>144.27000000000001</v>
          </cell>
          <cell r="N172">
            <v>2741.13</v>
          </cell>
          <cell r="O172">
            <v>0.54999912133328133</v>
          </cell>
          <cell r="P172">
            <v>0.55000000000000004</v>
          </cell>
          <cell r="Q172">
            <v>129.84</v>
          </cell>
        </row>
        <row r="173">
          <cell r="F173" t="str">
            <v>ESPECIALIZAÇÃO EM VIOLÊNCIA DE GÊNERO DIREITO, SAÚDE E DIVERSIDADE</v>
          </cell>
          <cell r="G173" t="str">
            <v>Direito</v>
          </cell>
          <cell r="H173">
            <v>12</v>
          </cell>
          <cell r="I173">
            <v>19</v>
          </cell>
          <cell r="J173">
            <v>291.43870800000002</v>
          </cell>
          <cell r="K173">
            <v>5537.3354520000003</v>
          </cell>
          <cell r="L173">
            <v>0.5</v>
          </cell>
          <cell r="M173">
            <v>131.15</v>
          </cell>
          <cell r="N173">
            <v>2491.85</v>
          </cell>
          <cell r="O173">
            <v>0.54999114256298443</v>
          </cell>
          <cell r="P173">
            <v>0.55000000000000004</v>
          </cell>
          <cell r="Q173">
            <v>118.03</v>
          </cell>
        </row>
        <row r="174">
          <cell r="F174" t="str">
            <v>MBA EM FINANÇAS CORPORATIVAS</v>
          </cell>
          <cell r="G174" t="str">
            <v>Gestão</v>
          </cell>
          <cell r="H174">
            <v>12</v>
          </cell>
          <cell r="I174">
            <v>19</v>
          </cell>
          <cell r="J174">
            <v>352.66770900000006</v>
          </cell>
          <cell r="K174">
            <v>6700.6864710000009</v>
          </cell>
          <cell r="L174">
            <v>0.5</v>
          </cell>
          <cell r="M174">
            <v>158.69999999999999</v>
          </cell>
          <cell r="N174">
            <v>3015.2999999999997</v>
          </cell>
          <cell r="O174">
            <v>0.55000133000552098</v>
          </cell>
          <cell r="P174">
            <v>0.55000000000000004</v>
          </cell>
          <cell r="Q174">
            <v>142.83000000000001</v>
          </cell>
        </row>
        <row r="175">
          <cell r="F175" t="str">
            <v>MBA EM ENGENHARIA DE SOFTWARE</v>
          </cell>
          <cell r="G175" t="str">
            <v>Tecnologia/Engenharia</v>
          </cell>
          <cell r="H175">
            <v>15</v>
          </cell>
          <cell r="I175">
            <v>19</v>
          </cell>
          <cell r="J175">
            <v>352.66770900000006</v>
          </cell>
          <cell r="K175">
            <v>6700.6864710000009</v>
          </cell>
          <cell r="L175">
            <v>0.5</v>
          </cell>
          <cell r="M175">
            <v>158.69999999999999</v>
          </cell>
          <cell r="N175">
            <v>3015.2999999999997</v>
          </cell>
          <cell r="O175">
            <v>0.55000133000552098</v>
          </cell>
          <cell r="P175">
            <v>0.55000000000000004</v>
          </cell>
          <cell r="Q175">
            <v>142.83000000000001</v>
          </cell>
        </row>
        <row r="176">
          <cell r="F176" t="str">
            <v>ESPECIALIZAÇÃO EM SOLUÇÃO DE CONFLITOS: MEDIAÇÃO E ARBITRAGEM</v>
          </cell>
          <cell r="G176" t="str">
            <v>Direito</v>
          </cell>
          <cell r="H176">
            <v>12</v>
          </cell>
          <cell r="I176">
            <v>19</v>
          </cell>
          <cell r="J176">
            <v>291.43870800000002</v>
          </cell>
          <cell r="K176">
            <v>5537.3354520000003</v>
          </cell>
          <cell r="L176">
            <v>0.4</v>
          </cell>
          <cell r="M176">
            <v>157.38</v>
          </cell>
          <cell r="N176">
            <v>2990.22</v>
          </cell>
          <cell r="O176">
            <v>0.45998937107558135</v>
          </cell>
          <cell r="P176">
            <v>0.45</v>
          </cell>
          <cell r="Q176">
            <v>144.26</v>
          </cell>
        </row>
        <row r="177">
          <cell r="F177" t="str">
            <v>ESPECIALIZAÇÃO EM MARKETING ESTRATÉGICO EM MÍDIAS E NEGÓCIOS DIGITAIS</v>
          </cell>
          <cell r="G177" t="str">
            <v>Comunicação</v>
          </cell>
          <cell r="H177">
            <v>12</v>
          </cell>
          <cell r="I177">
            <v>19</v>
          </cell>
          <cell r="J177">
            <v>320.59937400000007</v>
          </cell>
          <cell r="K177">
            <v>6091.3881060000012</v>
          </cell>
          <cell r="L177">
            <v>0.3</v>
          </cell>
          <cell r="M177">
            <v>201.98</v>
          </cell>
          <cell r="N177">
            <v>3837.62</v>
          </cell>
          <cell r="O177">
            <v>0.36999253155123146</v>
          </cell>
          <cell r="P177">
            <v>0.35</v>
          </cell>
          <cell r="Q177">
            <v>187.55</v>
          </cell>
        </row>
        <row r="178">
          <cell r="F178" t="str">
            <v>ESPECIALIZAÇÃO EM ESTUDOS FORENSE E CRIMINAL APLICADOS</v>
          </cell>
          <cell r="G178" t="str">
            <v>Direito</v>
          </cell>
          <cell r="H178">
            <v>15</v>
          </cell>
          <cell r="I178">
            <v>19</v>
          </cell>
          <cell r="J178">
            <v>419.73304200000007</v>
          </cell>
          <cell r="K178">
            <v>7974.9277980000015</v>
          </cell>
          <cell r="L178">
            <v>0.4</v>
          </cell>
          <cell r="M178">
            <v>226.66</v>
          </cell>
          <cell r="N178">
            <v>4306.54</v>
          </cell>
          <cell r="O178">
            <v>0.45999009532349389</v>
          </cell>
          <cell r="P178">
            <v>0.45</v>
          </cell>
          <cell r="Q178">
            <v>207.77</v>
          </cell>
        </row>
        <row r="179">
          <cell r="F179" t="str">
            <v>ESPECIALIZAÇÃO EM DIREITO TRIBUTÁRIO</v>
          </cell>
          <cell r="G179" t="str">
            <v>Direito</v>
          </cell>
          <cell r="H179">
            <v>12</v>
          </cell>
          <cell r="I179">
            <v>19</v>
          </cell>
          <cell r="J179">
            <v>291.43870800000002</v>
          </cell>
          <cell r="K179">
            <v>5537.3354520000003</v>
          </cell>
          <cell r="L179">
            <v>0.4</v>
          </cell>
          <cell r="M179">
            <v>157.38</v>
          </cell>
          <cell r="N179">
            <v>2990.22</v>
          </cell>
          <cell r="O179">
            <v>0.45998937107558135</v>
          </cell>
          <cell r="P179">
            <v>0.45</v>
          </cell>
          <cell r="Q179">
            <v>144.26</v>
          </cell>
        </row>
        <row r="180">
          <cell r="F180" t="str">
            <v>ESPECIALIZAÇÃO EM DIREITO EMPRESARIAL</v>
          </cell>
          <cell r="G180" t="str">
            <v>Direito</v>
          </cell>
          <cell r="H180">
            <v>12</v>
          </cell>
          <cell r="I180">
            <v>19</v>
          </cell>
          <cell r="J180">
            <v>291.43870800000002</v>
          </cell>
          <cell r="K180">
            <v>5537.3354520000003</v>
          </cell>
          <cell r="L180">
            <v>0.5</v>
          </cell>
          <cell r="M180">
            <v>131.15</v>
          </cell>
          <cell r="N180">
            <v>2491.85</v>
          </cell>
          <cell r="O180">
            <v>0.54999114256298443</v>
          </cell>
          <cell r="P180">
            <v>0.55000000000000004</v>
          </cell>
          <cell r="Q180">
            <v>118.03</v>
          </cell>
        </row>
        <row r="181">
          <cell r="F181" t="str">
            <v>ESPECIALIZAÇÃO EM DIREITO IMOBILIÁRIO</v>
          </cell>
          <cell r="G181" t="str">
            <v>Direito</v>
          </cell>
          <cell r="H181">
            <v>12</v>
          </cell>
          <cell r="I181">
            <v>19</v>
          </cell>
          <cell r="J181">
            <v>291.43870800000002</v>
          </cell>
          <cell r="K181">
            <v>5537.3354520000003</v>
          </cell>
          <cell r="L181">
            <v>0.3</v>
          </cell>
          <cell r="M181">
            <v>183.61</v>
          </cell>
          <cell r="N181">
            <v>3488.59</v>
          </cell>
          <cell r="O181">
            <v>0.36998759958817828</v>
          </cell>
          <cell r="P181">
            <v>0.35</v>
          </cell>
          <cell r="Q181">
            <v>170.49</v>
          </cell>
        </row>
        <row r="182">
          <cell r="F182" t="str">
            <v>ESPECIALIZAÇÃO EM ENGENHARIA DA MANUTENÇÃO</v>
          </cell>
          <cell r="G182" t="str">
            <v>Tecnologia/Engenharia</v>
          </cell>
          <cell r="H182">
            <v>12</v>
          </cell>
          <cell r="I182">
            <v>19</v>
          </cell>
          <cell r="J182">
            <v>352.66770900000006</v>
          </cell>
          <cell r="K182">
            <v>6700.6864710000009</v>
          </cell>
          <cell r="L182">
            <v>0.3</v>
          </cell>
          <cell r="M182">
            <v>222.18</v>
          </cell>
          <cell r="N182">
            <v>4221.42</v>
          </cell>
          <cell r="O182">
            <v>0.37000186200772933</v>
          </cell>
          <cell r="P182">
            <v>0.35</v>
          </cell>
          <cell r="Q182">
            <v>206.31</v>
          </cell>
        </row>
        <row r="183">
          <cell r="F183" t="str">
            <v>MBA EM ESG: RESPONSABILIDADE SOCIAL, AMBIENTAL E GOVERNANÇA CORPORATIVA</v>
          </cell>
          <cell r="G183" t="str">
            <v>Gestão</v>
          </cell>
          <cell r="H183">
            <v>14</v>
          </cell>
          <cell r="I183">
            <v>19</v>
          </cell>
          <cell r="J183">
            <v>583.02437399999997</v>
          </cell>
          <cell r="K183">
            <v>11077.463105999999</v>
          </cell>
          <cell r="L183">
            <v>0.4</v>
          </cell>
          <cell r="M183">
            <v>314.83</v>
          </cell>
          <cell r="N183">
            <v>5981.7699999999995</v>
          </cell>
          <cell r="O183">
            <v>0.46000542337531847</v>
          </cell>
          <cell r="P183">
            <v>0.45</v>
          </cell>
          <cell r="Q183">
            <v>288.60000000000002</v>
          </cell>
        </row>
        <row r="184">
          <cell r="F184" t="str">
            <v>ESPECIALIZAÇÃO EM ENFERMAGEM DO TRABALHO</v>
          </cell>
          <cell r="G184" t="str">
            <v>Saúde</v>
          </cell>
          <cell r="H184">
            <v>12</v>
          </cell>
          <cell r="I184">
            <v>19</v>
          </cell>
          <cell r="J184">
            <v>320.59937400000007</v>
          </cell>
          <cell r="K184">
            <v>6091.3881060000012</v>
          </cell>
          <cell r="L184">
            <v>0.5</v>
          </cell>
          <cell r="M184">
            <v>144.27000000000001</v>
          </cell>
          <cell r="N184">
            <v>2741.13</v>
          </cell>
          <cell r="O184">
            <v>0.54999912133328133</v>
          </cell>
          <cell r="P184">
            <v>0.55000000000000004</v>
          </cell>
          <cell r="Q184">
            <v>129.84</v>
          </cell>
        </row>
        <row r="185">
          <cell r="F185" t="str">
            <v>ESPECIALIZAÇÃO MULTIPROFISSIONAL EM ONCOLOGIA</v>
          </cell>
          <cell r="G185" t="str">
            <v>Saúde</v>
          </cell>
          <cell r="H185">
            <v>12</v>
          </cell>
          <cell r="I185">
            <v>19</v>
          </cell>
          <cell r="J185">
            <v>419.73304200000007</v>
          </cell>
          <cell r="K185">
            <v>7974.9277980000015</v>
          </cell>
          <cell r="L185">
            <v>0.4</v>
          </cell>
          <cell r="M185">
            <v>226.66</v>
          </cell>
          <cell r="N185">
            <v>4306.54</v>
          </cell>
          <cell r="O185">
            <v>0.45999009532349389</v>
          </cell>
          <cell r="P185">
            <v>0.45</v>
          </cell>
          <cell r="Q185">
            <v>207.77</v>
          </cell>
        </row>
        <row r="186">
          <cell r="F186" t="str">
            <v>ESPECIALIZAÇÃO EM GESTÃO DE EXPERIÊNCIA DO CLIENTE EM SERVIÇOS DE SAÚDE</v>
          </cell>
          <cell r="G186" t="str">
            <v>Saúde</v>
          </cell>
          <cell r="H186">
            <v>12</v>
          </cell>
          <cell r="I186">
            <v>19</v>
          </cell>
          <cell r="J186">
            <v>320.59937400000007</v>
          </cell>
          <cell r="K186">
            <v>6091.3881060000012</v>
          </cell>
          <cell r="L186">
            <v>0.4</v>
          </cell>
          <cell r="M186">
            <v>173.12</v>
          </cell>
          <cell r="N186">
            <v>3289.28</v>
          </cell>
          <cell r="O186">
            <v>0.46001142223066238</v>
          </cell>
          <cell r="P186">
            <v>0.45</v>
          </cell>
          <cell r="Q186">
            <v>158.69999999999999</v>
          </cell>
        </row>
        <row r="187">
          <cell r="F187" t="str">
            <v>ESPECIALIZAÇÃO EM UX/UI DESIGN</v>
          </cell>
          <cell r="G187" t="str">
            <v>Tecnologia/Engenharia</v>
          </cell>
          <cell r="H187">
            <v>12</v>
          </cell>
          <cell r="I187">
            <v>19</v>
          </cell>
          <cell r="J187">
            <v>352.66770900000006</v>
          </cell>
          <cell r="K187">
            <v>6700.6864710000009</v>
          </cell>
          <cell r="L187">
            <v>0.5</v>
          </cell>
          <cell r="M187">
            <v>158.69999999999999</v>
          </cell>
          <cell r="N187">
            <v>3015.2999999999997</v>
          </cell>
          <cell r="O187">
            <v>0.55000133000552098</v>
          </cell>
          <cell r="P187">
            <v>0.55000000000000004</v>
          </cell>
          <cell r="Q187">
            <v>142.83000000000001</v>
          </cell>
        </row>
        <row r="188">
          <cell r="F188" t="str">
            <v>ESPECIALIZAÇÃO EM SAFETY EM AVIAÇÃO</v>
          </cell>
          <cell r="G188" t="str">
            <v>Tecnologia/Engenharia</v>
          </cell>
          <cell r="H188">
            <v>12</v>
          </cell>
          <cell r="I188">
            <v>19</v>
          </cell>
          <cell r="J188">
            <v>320.59937400000007</v>
          </cell>
          <cell r="K188">
            <v>6091.3881060000012</v>
          </cell>
          <cell r="L188">
            <v>0.4</v>
          </cell>
          <cell r="M188">
            <v>173.12</v>
          </cell>
          <cell r="N188">
            <v>3289.28</v>
          </cell>
          <cell r="O188">
            <v>0.46001142223066238</v>
          </cell>
          <cell r="P188">
            <v>0.45</v>
          </cell>
          <cell r="Q188">
            <v>158.69999999999999</v>
          </cell>
        </row>
        <row r="189">
          <cell r="F189" t="str">
            <v>ESPECIALIZAÇÃO EM ENFERMAGEM EM SAÚDE DA MULHER</v>
          </cell>
          <cell r="G189" t="str">
            <v>Saúde</v>
          </cell>
          <cell r="H189">
            <v>18</v>
          </cell>
          <cell r="I189">
            <v>19</v>
          </cell>
          <cell r="J189">
            <v>352.66770900000006</v>
          </cell>
          <cell r="K189">
            <v>5275.16</v>
          </cell>
          <cell r="L189">
            <v>0.4</v>
          </cell>
          <cell r="M189">
            <v>190.44</v>
          </cell>
          <cell r="N189">
            <v>3618.36</v>
          </cell>
          <cell r="O189">
            <v>0.46000159600662516</v>
          </cell>
          <cell r="P189">
            <v>0.45</v>
          </cell>
          <cell r="Q189">
            <v>174.57</v>
          </cell>
        </row>
        <row r="190">
          <cell r="F190" t="str">
            <v>ESPECIALIZAÇÃO EM MEDICAL SCIENCE LIAISON</v>
          </cell>
          <cell r="G190" t="str">
            <v>Saúde</v>
          </cell>
          <cell r="H190">
            <v>18</v>
          </cell>
          <cell r="I190">
            <v>19</v>
          </cell>
          <cell r="J190">
            <v>461.71054500000008</v>
          </cell>
          <cell r="K190">
            <v>8772.5003550000019</v>
          </cell>
          <cell r="L190">
            <v>0.4</v>
          </cell>
          <cell r="M190">
            <v>249.32</v>
          </cell>
          <cell r="N190">
            <v>4737.08</v>
          </cell>
          <cell r="O190">
            <v>0.46000800133338959</v>
          </cell>
          <cell r="P190">
            <v>0.45</v>
          </cell>
          <cell r="Q190">
            <v>228.55</v>
          </cell>
        </row>
        <row r="191">
          <cell r="F191" t="str">
            <v>ESPECIALIZAÇÃO EM PRESCRIÇÃO FARMACÊUTICA</v>
          </cell>
          <cell r="G191" t="str">
            <v>Saúde</v>
          </cell>
          <cell r="H191">
            <v>18</v>
          </cell>
          <cell r="I191">
            <v>19</v>
          </cell>
          <cell r="J191">
            <v>461.71054500000008</v>
          </cell>
          <cell r="K191">
            <v>8772.5003550000019</v>
          </cell>
          <cell r="L191">
            <v>0.4</v>
          </cell>
          <cell r="M191">
            <v>249.32</v>
          </cell>
          <cell r="N191">
            <v>4737.08</v>
          </cell>
          <cell r="O191">
            <v>0.46000800133338959</v>
          </cell>
          <cell r="P191">
            <v>0.45</v>
          </cell>
          <cell r="Q191">
            <v>228.55</v>
          </cell>
        </row>
        <row r="192">
          <cell r="F192" t="str">
            <v>ESPECIALIZAÇÃO EM NUTRIÇÃO EM SAÚDE DA MULHER E FITOTERAPIA</v>
          </cell>
          <cell r="G192" t="str">
            <v>Saúde</v>
          </cell>
          <cell r="H192">
            <v>18</v>
          </cell>
          <cell r="I192">
            <v>19</v>
          </cell>
          <cell r="J192">
            <v>461.71054500000008</v>
          </cell>
          <cell r="K192">
            <v>8772.5003550000019</v>
          </cell>
          <cell r="L192">
            <v>0.4</v>
          </cell>
          <cell r="M192">
            <v>249.32</v>
          </cell>
          <cell r="N192">
            <v>4737.08</v>
          </cell>
          <cell r="O192">
            <v>0.46000800133338959</v>
          </cell>
          <cell r="P192">
            <v>0.45</v>
          </cell>
          <cell r="Q192">
            <v>228.55</v>
          </cell>
        </row>
        <row r="193">
          <cell r="F193" t="str">
            <v>ESPECIALIZAÇÃO EM ENGENHARIA LEGAL E DIAGNÓSTICA PARA ENGENHEIROS E ARQUITETOS</v>
          </cell>
          <cell r="G193" t="str">
            <v>Tecnologia/Engenharia</v>
          </cell>
          <cell r="H193">
            <v>18</v>
          </cell>
          <cell r="I193">
            <v>19</v>
          </cell>
          <cell r="J193">
            <v>352.66770900000006</v>
          </cell>
          <cell r="K193">
            <v>6700.6864710000009</v>
          </cell>
          <cell r="L193">
            <v>0.4</v>
          </cell>
          <cell r="M193">
            <v>190.44</v>
          </cell>
          <cell r="N193">
            <v>3618.36</v>
          </cell>
          <cell r="O193">
            <v>0.46000159600662516</v>
          </cell>
          <cell r="P193">
            <v>0.45</v>
          </cell>
          <cell r="Q193">
            <v>174.57</v>
          </cell>
        </row>
        <row r="194">
          <cell r="F194" t="str">
            <v>ESPECIALIZAÇÃO EM JOGOS DIGITAIS</v>
          </cell>
          <cell r="G194" t="str">
            <v>Tecnologia/Engenharia</v>
          </cell>
          <cell r="H194">
            <v>18</v>
          </cell>
          <cell r="I194">
            <v>19</v>
          </cell>
          <cell r="J194">
            <v>352.66770900000006</v>
          </cell>
          <cell r="K194">
            <v>6700.6864710000009</v>
          </cell>
          <cell r="L194">
            <v>0.4</v>
          </cell>
          <cell r="M194">
            <v>190.44</v>
          </cell>
          <cell r="N194">
            <v>3618.36</v>
          </cell>
          <cell r="O194">
            <v>0.46000159600662516</v>
          </cell>
          <cell r="P194">
            <v>0.45</v>
          </cell>
          <cell r="Q194">
            <v>174.57</v>
          </cell>
        </row>
        <row r="195">
          <cell r="F195" t="str">
            <v>ESPECIALIZAÇÃO EM BIM APLICADA À CONSTRUÇÃO CIVIL</v>
          </cell>
          <cell r="G195" t="str">
            <v>Tecnologia/Engenharia</v>
          </cell>
          <cell r="H195">
            <v>18</v>
          </cell>
          <cell r="I195">
            <v>19</v>
          </cell>
          <cell r="J195">
            <v>461.71054500000008</v>
          </cell>
          <cell r="K195">
            <v>8772.5003550000019</v>
          </cell>
          <cell r="L195">
            <v>0.4</v>
          </cell>
          <cell r="M195">
            <v>249.32</v>
          </cell>
          <cell r="N195">
            <v>4737.08</v>
          </cell>
          <cell r="O195">
            <v>0.46000800133338959</v>
          </cell>
          <cell r="P195">
            <v>0.45</v>
          </cell>
          <cell r="Q195">
            <v>228.55</v>
          </cell>
        </row>
        <row r="196">
          <cell r="F196" t="str">
            <v>MBA EM GESTÃO DE PROCESSOS – BUSINESS PROCESS MANAGEMENT</v>
          </cell>
          <cell r="G196" t="str">
            <v>Gestão</v>
          </cell>
          <cell r="H196">
            <v>18</v>
          </cell>
          <cell r="I196">
            <v>19</v>
          </cell>
          <cell r="J196">
            <v>352.66770900000006</v>
          </cell>
          <cell r="K196">
            <v>6700.6864710000009</v>
          </cell>
          <cell r="L196">
            <v>0.4</v>
          </cell>
          <cell r="M196">
            <v>190.44</v>
          </cell>
          <cell r="N196">
            <v>3618.36</v>
          </cell>
          <cell r="O196">
            <v>0.46000159600662516</v>
          </cell>
          <cell r="P196">
            <v>0.45</v>
          </cell>
          <cell r="Q196">
            <v>174.57</v>
          </cell>
        </row>
        <row r="197">
          <cell r="F197" t="str">
            <v>MBA EM ENGENHARIA DA PRODUÇÃO, QUALIDADE E COMPETITIVIDADE</v>
          </cell>
          <cell r="G197" t="str">
            <v>Gestão</v>
          </cell>
          <cell r="H197">
            <v>18</v>
          </cell>
          <cell r="I197">
            <v>19</v>
          </cell>
          <cell r="J197">
            <v>352.66770900000006</v>
          </cell>
          <cell r="K197">
            <v>6700.6864710000009</v>
          </cell>
          <cell r="L197">
            <v>0.4</v>
          </cell>
          <cell r="M197">
            <v>190.44</v>
          </cell>
          <cell r="N197">
            <v>3618.36</v>
          </cell>
          <cell r="O197">
            <v>0.46000159600662516</v>
          </cell>
          <cell r="P197">
            <v>0.45</v>
          </cell>
          <cell r="Q197">
            <v>174.57</v>
          </cell>
        </row>
        <row r="198">
          <cell r="F198" t="str">
            <v>ESPECIALIZAÇÃO EM FONOAUDIOLOGIA HOSPITALAR</v>
          </cell>
          <cell r="G198" t="str">
            <v>Saúde</v>
          </cell>
          <cell r="H198">
            <v>18</v>
          </cell>
          <cell r="I198">
            <v>19</v>
          </cell>
          <cell r="J198">
            <v>352.66770900000006</v>
          </cell>
          <cell r="K198">
            <v>6700.6864710000009</v>
          </cell>
          <cell r="L198">
            <v>0.4</v>
          </cell>
          <cell r="M198">
            <v>190.44</v>
          </cell>
          <cell r="N198">
            <v>3618.36</v>
          </cell>
          <cell r="O198">
            <v>0.46000159600662516</v>
          </cell>
          <cell r="P198">
            <v>0.45</v>
          </cell>
          <cell r="Q198">
            <v>174.57</v>
          </cell>
        </row>
        <row r="199">
          <cell r="F199" t="str">
            <v>ESPECIALIZAÇÃO EM DIREITO DE FAMÍLIA E SUCESSÕES</v>
          </cell>
          <cell r="G199" t="str">
            <v>Direito</v>
          </cell>
          <cell r="H199">
            <v>18</v>
          </cell>
          <cell r="I199">
            <v>19</v>
          </cell>
          <cell r="J199">
            <v>352.66770900000006</v>
          </cell>
          <cell r="K199">
            <v>6700.6864710000009</v>
          </cell>
          <cell r="L199">
            <v>0.4</v>
          </cell>
          <cell r="M199">
            <v>190.44</v>
          </cell>
          <cell r="N199">
            <v>3618.36</v>
          </cell>
          <cell r="O199">
            <v>0.46000159600662516</v>
          </cell>
          <cell r="P199">
            <v>0.45</v>
          </cell>
          <cell r="Q199">
            <v>174.57</v>
          </cell>
        </row>
        <row r="200">
          <cell r="F200" t="str">
            <v>MBA EM GESTÃO DE ALTA PERFORMANCE</v>
          </cell>
          <cell r="G200" t="str">
            <v>Gestão</v>
          </cell>
          <cell r="H200">
            <v>18</v>
          </cell>
          <cell r="I200">
            <v>19</v>
          </cell>
          <cell r="J200">
            <v>352.66770900000006</v>
          </cell>
          <cell r="K200">
            <v>6700.6864710000009</v>
          </cell>
          <cell r="L200">
            <v>0.5</v>
          </cell>
          <cell r="M200">
            <v>158.69999999999999</v>
          </cell>
          <cell r="N200">
            <v>3015.2999999999997</v>
          </cell>
          <cell r="O200">
            <v>0.55000133000552098</v>
          </cell>
          <cell r="P200">
            <v>0.55000000000000004</v>
          </cell>
          <cell r="Q200">
            <v>142.83000000000001</v>
          </cell>
        </row>
        <row r="201">
          <cell r="F201" t="str">
            <v>LLM EM DIREITO MÉDICO E DA SAÚDE</v>
          </cell>
          <cell r="G201" t="str">
            <v>Direito</v>
          </cell>
          <cell r="H201">
            <v>18</v>
          </cell>
          <cell r="I201">
            <v>19</v>
          </cell>
          <cell r="J201">
            <v>461.71054500000008</v>
          </cell>
          <cell r="K201">
            <v>8772.5003550000019</v>
          </cell>
          <cell r="L201">
            <v>0.4</v>
          </cell>
          <cell r="M201">
            <v>249.32</v>
          </cell>
          <cell r="N201">
            <v>4737.08</v>
          </cell>
          <cell r="O201">
            <v>0.46000800133338959</v>
          </cell>
          <cell r="P201">
            <v>0.45</v>
          </cell>
          <cell r="Q201">
            <v>228.55</v>
          </cell>
        </row>
        <row r="202">
          <cell r="F202" t="str">
            <v>ESPECIALIZAÇÃO EM BIOINFORMÁTICA APLICADA À SAÚDE</v>
          </cell>
          <cell r="G202" t="str">
            <v>Tecnologia/Engenharia</v>
          </cell>
          <cell r="H202">
            <v>12</v>
          </cell>
          <cell r="I202">
            <v>19</v>
          </cell>
          <cell r="J202">
            <v>484.96140000000008</v>
          </cell>
          <cell r="K202">
            <v>9214.2666000000008</v>
          </cell>
          <cell r="L202">
            <v>0.4</v>
          </cell>
          <cell r="M202">
            <v>261.88</v>
          </cell>
          <cell r="N202">
            <v>4975.72</v>
          </cell>
          <cell r="O202">
            <v>0.45999825965530461</v>
          </cell>
          <cell r="P202">
            <v>0.45</v>
          </cell>
          <cell r="Q202">
            <v>240.06</v>
          </cell>
        </row>
        <row r="203">
          <cell r="F203" t="str">
            <v>ESPECIALIZAÇÃO EM EDUCAÇÃO ANTIRRACISTA E ESTUDOS ÉTNICO-RACIAIS</v>
          </cell>
          <cell r="G203" t="str">
            <v>Educação</v>
          </cell>
          <cell r="H203">
            <v>12</v>
          </cell>
          <cell r="I203">
            <v>19</v>
          </cell>
          <cell r="J203">
            <v>404.1345</v>
          </cell>
          <cell r="K203">
            <v>7678.5555000000004</v>
          </cell>
          <cell r="L203">
            <v>0.4</v>
          </cell>
          <cell r="M203">
            <v>218.23</v>
          </cell>
          <cell r="N203">
            <v>4146.37</v>
          </cell>
          <cell r="O203">
            <v>0.46000650773443008</v>
          </cell>
          <cell r="P203">
            <v>0.45</v>
          </cell>
          <cell r="Q203">
            <v>200.05</v>
          </cell>
        </row>
        <row r="204">
          <cell r="F204" t="str">
            <v>ESPECIALIZAÇÃO EM EDUCAÇÃO E INOVAÇÕES TECNOLÓGICAS</v>
          </cell>
          <cell r="G204" t="str">
            <v>Educação</v>
          </cell>
          <cell r="H204">
            <v>12</v>
          </cell>
          <cell r="I204">
            <v>19</v>
          </cell>
          <cell r="J204">
            <v>404.1345</v>
          </cell>
          <cell r="K204">
            <v>7678.5555000000004</v>
          </cell>
          <cell r="L204">
            <v>0.4</v>
          </cell>
          <cell r="M204">
            <v>218.23</v>
          </cell>
          <cell r="N204">
            <v>4146.37</v>
          </cell>
          <cell r="O204">
            <v>0.46000650773443008</v>
          </cell>
          <cell r="P204">
            <v>0.45</v>
          </cell>
          <cell r="Q204">
            <v>200.05</v>
          </cell>
        </row>
        <row r="205">
          <cell r="F205" t="str">
            <v>ESPECIALIZAÇÃO EM EDUCAÇÃO ESPECIAL E INCLUSIVA</v>
          </cell>
          <cell r="G205" t="str">
            <v>Educação</v>
          </cell>
          <cell r="H205">
            <v>12</v>
          </cell>
          <cell r="I205">
            <v>19</v>
          </cell>
          <cell r="J205">
            <v>404.1345</v>
          </cell>
          <cell r="K205">
            <v>7678.5555000000004</v>
          </cell>
          <cell r="L205">
            <v>0.4</v>
          </cell>
          <cell r="M205">
            <v>218.23</v>
          </cell>
          <cell r="N205">
            <v>4146.37</v>
          </cell>
          <cell r="O205">
            <v>0.46000650773443008</v>
          </cell>
          <cell r="P205">
            <v>0.45</v>
          </cell>
          <cell r="Q205">
            <v>200.05</v>
          </cell>
        </row>
        <row r="206">
          <cell r="F206" t="str">
            <v>ESPECIALIZAÇÃO EM EDUCAÇÃO INFANTIL</v>
          </cell>
          <cell r="G206" t="str">
            <v>Educação</v>
          </cell>
          <cell r="H206">
            <v>12</v>
          </cell>
          <cell r="I206">
            <v>19</v>
          </cell>
          <cell r="J206">
            <v>352.47876300000007</v>
          </cell>
          <cell r="K206">
            <v>6650</v>
          </cell>
          <cell r="L206">
            <v>0.4</v>
          </cell>
          <cell r="M206">
            <v>190.34</v>
          </cell>
          <cell r="N206">
            <v>3616.46</v>
          </cell>
          <cell r="O206">
            <v>0.45999583526681875</v>
          </cell>
          <cell r="P206">
            <v>0.45</v>
          </cell>
          <cell r="Q206">
            <v>174.48</v>
          </cell>
        </row>
        <row r="207">
          <cell r="F207" t="str">
            <v>ESPECIALIZAÇÃO EM PSICOPEDAGOGIA CLÍNICA E INSTITUCIONAL</v>
          </cell>
          <cell r="G207" t="str">
            <v>Educação</v>
          </cell>
          <cell r="H207">
            <v>12</v>
          </cell>
          <cell r="I207">
            <v>19</v>
          </cell>
          <cell r="J207">
            <v>404.13450000000012</v>
          </cell>
          <cell r="K207">
            <v>6650</v>
          </cell>
          <cell r="L207">
            <v>0.3</v>
          </cell>
          <cell r="M207">
            <v>254.6</v>
          </cell>
          <cell r="N207">
            <v>4837.3999999999996</v>
          </cell>
          <cell r="O207">
            <v>0.37001171639639796</v>
          </cell>
          <cell r="P207">
            <v>0.35</v>
          </cell>
          <cell r="Q207">
            <v>236.42</v>
          </cell>
        </row>
        <row r="208">
          <cell r="F208" t="str">
            <v>ESPECIALIZAÇÃO EM TERAPIAS COGNITIVO-COMPORTAMENTAIS</v>
          </cell>
          <cell r="G208" t="str">
            <v>Saúde</v>
          </cell>
          <cell r="H208">
            <v>12</v>
          </cell>
          <cell r="I208">
            <v>19</v>
          </cell>
          <cell r="J208">
            <v>392.58780000000007</v>
          </cell>
          <cell r="K208">
            <v>5799.94</v>
          </cell>
          <cell r="L208">
            <v>0.4</v>
          </cell>
          <cell r="M208">
            <v>212</v>
          </cell>
          <cell r="N208">
            <v>4028</v>
          </cell>
          <cell r="O208">
            <v>0.45999340784405429</v>
          </cell>
          <cell r="P208">
            <v>0.45</v>
          </cell>
          <cell r="Q208">
            <v>194.33</v>
          </cell>
        </row>
        <row r="209">
          <cell r="F209" t="str">
            <v>ESPECIALIZAÇÃO EM PSICOLOGIA HOSPITALAR</v>
          </cell>
          <cell r="G209" t="str">
            <v>Saúde</v>
          </cell>
          <cell r="H209">
            <v>12</v>
          </cell>
          <cell r="I209">
            <v>19</v>
          </cell>
          <cell r="J209">
            <v>392.58780000000007</v>
          </cell>
          <cell r="K209">
            <v>6650</v>
          </cell>
          <cell r="L209">
            <v>0.4</v>
          </cell>
          <cell r="M209">
            <v>212</v>
          </cell>
          <cell r="N209">
            <v>4028</v>
          </cell>
          <cell r="O209">
            <v>0.45999340784405429</v>
          </cell>
          <cell r="P209">
            <v>0.45</v>
          </cell>
          <cell r="Q209">
            <v>194.33</v>
          </cell>
        </row>
        <row r="210">
          <cell r="F210" t="str">
            <v>ESPECIALIZAÇÃO EM DEPENDÊNCIAS E COMPORTAMENTOS ADICTIVOS</v>
          </cell>
          <cell r="G210" t="str">
            <v>Saúde</v>
          </cell>
          <cell r="H210">
            <v>12</v>
          </cell>
          <cell r="I210">
            <v>19</v>
          </cell>
          <cell r="J210">
            <v>392.58780000000007</v>
          </cell>
          <cell r="K210">
            <v>7459.168200000001</v>
          </cell>
          <cell r="L210">
            <v>0.4</v>
          </cell>
          <cell r="M210">
            <v>212</v>
          </cell>
          <cell r="N210">
            <v>4028</v>
          </cell>
          <cell r="O210">
            <v>0.45999340784405429</v>
          </cell>
          <cell r="P210">
            <v>0.45</v>
          </cell>
          <cell r="Q210">
            <v>194.33</v>
          </cell>
        </row>
        <row r="211">
          <cell r="F211" t="str">
            <v>ESPECIALIZAÇÃO EM PSICOLOGIA DA INFÂNCIA E ADOLESCÊNCIA</v>
          </cell>
          <cell r="G211" t="str">
            <v>Saúde</v>
          </cell>
          <cell r="H211">
            <v>12</v>
          </cell>
          <cell r="I211">
            <v>19</v>
          </cell>
          <cell r="J211">
            <v>450.32130000000006</v>
          </cell>
          <cell r="K211">
            <v>8556.1047000000017</v>
          </cell>
          <cell r="L211">
            <v>0.4</v>
          </cell>
          <cell r="M211">
            <v>243.17</v>
          </cell>
          <cell r="N211">
            <v>4620.2299999999996</v>
          </cell>
          <cell r="O211">
            <v>0.46000777666968018</v>
          </cell>
          <cell r="P211">
            <v>0.45</v>
          </cell>
          <cell r="Q211">
            <v>222.91</v>
          </cell>
        </row>
        <row r="212">
          <cell r="F212" t="str">
            <v>ESPECIALIZAÇÃO EM PSICOMOTRICIDADE INSTITUCIONAL E CLÍNICA</v>
          </cell>
          <cell r="G212" t="str">
            <v>Educação</v>
          </cell>
          <cell r="H212">
            <v>12</v>
          </cell>
          <cell r="I212">
            <v>19</v>
          </cell>
          <cell r="J212">
            <v>404.13450000000012</v>
          </cell>
          <cell r="K212">
            <v>7678.5555000000022</v>
          </cell>
          <cell r="L212">
            <v>0.4</v>
          </cell>
          <cell r="M212">
            <v>218.23</v>
          </cell>
          <cell r="N212">
            <v>4146.37</v>
          </cell>
          <cell r="O212">
            <v>0.46000650773443019</v>
          </cell>
          <cell r="P212">
            <v>0.45</v>
          </cell>
          <cell r="Q212">
            <v>200.05</v>
          </cell>
        </row>
        <row r="213">
          <cell r="F213" t="str">
            <v>ESPECIALIZAÇÃO EM AVALIAÇÃO E DIAGNÓSTICO PSICOLÓGICO</v>
          </cell>
          <cell r="G213" t="str">
            <v>Saúde</v>
          </cell>
          <cell r="H213">
            <v>12</v>
          </cell>
          <cell r="I213">
            <v>19</v>
          </cell>
          <cell r="J213">
            <v>450.32130000000006</v>
          </cell>
          <cell r="K213">
            <v>8556.1047000000017</v>
          </cell>
          <cell r="L213">
            <v>0.4</v>
          </cell>
          <cell r="M213">
            <v>243.17</v>
          </cell>
          <cell r="N213">
            <v>4620.2299999999996</v>
          </cell>
          <cell r="O213">
            <v>0.46000777666968018</v>
          </cell>
          <cell r="P213">
            <v>0.45</v>
          </cell>
          <cell r="Q213">
            <v>222.91</v>
          </cell>
        </row>
        <row r="214">
          <cell r="F214" t="str">
            <v>ESPECIALIZAÇÃO EM INTELIGÊNCIA ARTIFICIAL (I.A) E MACHINE LEARNING</v>
          </cell>
          <cell r="G214" t="str">
            <v>Tecnologia/Engenharia</v>
          </cell>
          <cell r="H214">
            <v>12</v>
          </cell>
          <cell r="I214">
            <v>19</v>
          </cell>
          <cell r="J214">
            <v>320.59937400000007</v>
          </cell>
          <cell r="K214">
            <v>6091.3881060000012</v>
          </cell>
          <cell r="L214">
            <v>0.4</v>
          </cell>
          <cell r="M214">
            <v>173.12</v>
          </cell>
          <cell r="N214">
            <v>3289.28</v>
          </cell>
          <cell r="O214">
            <v>0.46001142223066238</v>
          </cell>
          <cell r="P214">
            <v>0.45</v>
          </cell>
          <cell r="Q214">
            <v>158.69999999999999</v>
          </cell>
        </row>
        <row r="215">
          <cell r="F215" t="str">
            <v>ESPECIALIZAÇÃO EM INTELIGÊNCIA DE DADOS PARA NEGÓCIOS</v>
          </cell>
          <cell r="G215" t="str">
            <v>Tecnologia/Engenharia</v>
          </cell>
          <cell r="H215">
            <v>12</v>
          </cell>
          <cell r="I215">
            <v>19</v>
          </cell>
          <cell r="J215">
            <v>320.59937400000007</v>
          </cell>
          <cell r="K215">
            <v>6091.3881060000012</v>
          </cell>
          <cell r="L215">
            <v>0.4</v>
          </cell>
          <cell r="M215">
            <v>173.12</v>
          </cell>
          <cell r="N215">
            <v>3289.28</v>
          </cell>
          <cell r="O215">
            <v>0.46001142223066238</v>
          </cell>
          <cell r="P215">
            <v>0.45</v>
          </cell>
          <cell r="Q215">
            <v>158.69999999999999</v>
          </cell>
        </row>
        <row r="216">
          <cell r="F216" t="str">
            <v>ESPECIALIZAÇÃO EM EDUCAÇÃO EM RELAÇÕES DE GÊNERO, INTERSECCIONALIDADE E DIVERSIDADE</v>
          </cell>
          <cell r="G216" t="str">
            <v>Educação</v>
          </cell>
          <cell r="H216">
            <v>12</v>
          </cell>
          <cell r="I216">
            <v>19</v>
          </cell>
          <cell r="J216">
            <v>404.13450000000006</v>
          </cell>
          <cell r="K216">
            <v>7678.5555000000013</v>
          </cell>
          <cell r="L216">
            <v>0.4</v>
          </cell>
          <cell r="M216">
            <v>218.23</v>
          </cell>
          <cell r="N216">
            <v>4146.37</v>
          </cell>
          <cell r="O216">
            <v>0.46000650773443008</v>
          </cell>
          <cell r="P216">
            <v>0.45</v>
          </cell>
          <cell r="Q216">
            <v>200.05</v>
          </cell>
        </row>
        <row r="217">
          <cell r="F217" t="str">
            <v>ESPECIALIZAÇÃO EM ABA - APPLIED BEHAVIOR ANALYSIS - ANÁLISE DO COMPORTAMENTO APLICADO</v>
          </cell>
          <cell r="G217" t="str">
            <v>Educação</v>
          </cell>
          <cell r="H217">
            <v>12</v>
          </cell>
          <cell r="I217">
            <v>19</v>
          </cell>
          <cell r="J217">
            <v>404.13450000000006</v>
          </cell>
          <cell r="K217">
            <v>7678.5555000000013</v>
          </cell>
          <cell r="L217">
            <v>0.4</v>
          </cell>
          <cell r="M217">
            <v>218.23</v>
          </cell>
          <cell r="N217">
            <v>4146.37</v>
          </cell>
          <cell r="O217">
            <v>0.46000650773443008</v>
          </cell>
          <cell r="P217">
            <v>0.45</v>
          </cell>
          <cell r="Q217">
            <v>200.05</v>
          </cell>
        </row>
        <row r="218">
          <cell r="F218" t="str">
            <v>ESPECIALIZAÇÃO EM EDUCAÇÃO FÍSICA ESCOLAR</v>
          </cell>
          <cell r="G218" t="str">
            <v>Educação</v>
          </cell>
          <cell r="H218">
            <v>12</v>
          </cell>
          <cell r="I218">
            <v>19</v>
          </cell>
          <cell r="J218">
            <v>352.47456419999997</v>
          </cell>
          <cell r="K218">
            <v>6697.0167197999999</v>
          </cell>
          <cell r="L218">
            <v>0.4</v>
          </cell>
          <cell r="M218">
            <v>190.34</v>
          </cell>
          <cell r="N218">
            <v>3616.46</v>
          </cell>
          <cell r="O218">
            <v>0.45998940254878107</v>
          </cell>
          <cell r="P218">
            <v>0.45</v>
          </cell>
          <cell r="Q218">
            <v>174.47</v>
          </cell>
        </row>
        <row r="219">
          <cell r="F219" t="str">
            <v>ESPECIALIZAÇÃO EM ENSINO DE CIÊNCIAS NATURAIS E SUAS TECNOLOGIAS</v>
          </cell>
          <cell r="G219" t="str">
            <v>Educação</v>
          </cell>
          <cell r="H219">
            <v>12</v>
          </cell>
          <cell r="I219">
            <v>19</v>
          </cell>
          <cell r="J219">
            <v>404.13450000000006</v>
          </cell>
          <cell r="K219">
            <v>7678.5555000000013</v>
          </cell>
          <cell r="L219">
            <v>0.4</v>
          </cell>
          <cell r="M219">
            <v>218.23</v>
          </cell>
          <cell r="N219">
            <v>4146.37</v>
          </cell>
          <cell r="O219">
            <v>0.46000650773443008</v>
          </cell>
          <cell r="P219">
            <v>0.45</v>
          </cell>
          <cell r="Q219">
            <v>200.05</v>
          </cell>
        </row>
        <row r="220">
          <cell r="F220" t="str">
            <v>ESPECIALIZAÇÃO EM COMUNICAÇÃO CORPORATIVA E GESTÃO DE CRISES</v>
          </cell>
          <cell r="G220" t="str">
            <v>Gestão</v>
          </cell>
          <cell r="H220">
            <v>12</v>
          </cell>
          <cell r="I220">
            <v>19</v>
          </cell>
          <cell r="J220">
            <v>352.67</v>
          </cell>
          <cell r="K220">
            <v>6700.7300000000005</v>
          </cell>
          <cell r="L220">
            <v>0.4</v>
          </cell>
          <cell r="M220">
            <v>190.44</v>
          </cell>
          <cell r="N220">
            <v>3618.36</v>
          </cell>
          <cell r="O220">
            <v>0.46000510392151306</v>
          </cell>
          <cell r="P220">
            <v>0.45</v>
          </cell>
          <cell r="Q220">
            <v>174.57</v>
          </cell>
        </row>
        <row r="221">
          <cell r="F221" t="str">
            <v>MBA EM INTELIGÊNCIA ARTIFICIAL PARA GESTORES</v>
          </cell>
          <cell r="G221" t="str">
            <v>Gestão</v>
          </cell>
          <cell r="H221">
            <v>12</v>
          </cell>
          <cell r="I221">
            <v>19</v>
          </cell>
          <cell r="J221">
            <v>352.67</v>
          </cell>
          <cell r="K221">
            <v>6700.7300000000005</v>
          </cell>
          <cell r="L221">
            <v>0.4</v>
          </cell>
          <cell r="M221">
            <v>190.44</v>
          </cell>
          <cell r="N221">
            <v>3618.36</v>
          </cell>
          <cell r="O221">
            <v>0.46000510392151306</v>
          </cell>
          <cell r="P221">
            <v>0.45</v>
          </cell>
          <cell r="Q221">
            <v>174.57</v>
          </cell>
        </row>
        <row r="222">
          <cell r="F222" t="e">
            <v>#N/A</v>
          </cell>
          <cell r="G222" t="str">
            <v>Tecnologia/Engenharia</v>
          </cell>
          <cell r="H222">
            <v>15</v>
          </cell>
          <cell r="I222">
            <v>19</v>
          </cell>
          <cell r="J222">
            <v>352.66770900000006</v>
          </cell>
          <cell r="K222">
            <v>6700.6864710000009</v>
          </cell>
          <cell r="L222">
            <v>0</v>
          </cell>
          <cell r="M222">
            <v>317.39999999999998</v>
          </cell>
          <cell r="N222">
            <v>6030.5999999999995</v>
          </cell>
          <cell r="O222">
            <v>0.10000266001104197</v>
          </cell>
          <cell r="P222">
            <v>0.05</v>
          </cell>
          <cell r="Q222">
            <v>301.52999999999997</v>
          </cell>
        </row>
        <row r="224">
          <cell r="F224" t="str">
            <v>ESPECIALIZAÇÃO EM DIREITO CIVIL E PROCESSO CIVIL</v>
          </cell>
          <cell r="G224" t="str">
            <v>Direito</v>
          </cell>
          <cell r="H224">
            <v>12</v>
          </cell>
          <cell r="I224">
            <v>19</v>
          </cell>
          <cell r="J224">
            <v>262.27804200000003</v>
          </cell>
          <cell r="K224">
            <v>4983.2827980000002</v>
          </cell>
          <cell r="L224">
            <v>0.4</v>
          </cell>
          <cell r="M224">
            <v>141.63</v>
          </cell>
          <cell r="N224">
            <v>2690.97</v>
          </cell>
          <cell r="O224">
            <v>0.46000054400284118</v>
          </cell>
          <cell r="P224">
            <v>0.45</v>
          </cell>
          <cell r="Q224">
            <v>129.83000000000001</v>
          </cell>
        </row>
        <row r="225">
          <cell r="F225" t="str">
            <v>ESPECIALIZAÇÃO EM DIREITO MATERIAL E PROCESSUAL DO TRABALHO</v>
          </cell>
          <cell r="G225" t="str">
            <v>Direito</v>
          </cell>
          <cell r="H225">
            <v>12</v>
          </cell>
          <cell r="I225">
            <v>19</v>
          </cell>
          <cell r="J225">
            <v>262.27804200000003</v>
          </cell>
          <cell r="K225">
            <v>4983.2827980000002</v>
          </cell>
          <cell r="L225">
            <v>0.5</v>
          </cell>
          <cell r="M225">
            <v>118.03</v>
          </cell>
          <cell r="N225">
            <v>2242.5700000000002</v>
          </cell>
          <cell r="O225">
            <v>0.54998138959722753</v>
          </cell>
          <cell r="P225">
            <v>0.55000000000000004</v>
          </cell>
          <cell r="Q225">
            <v>106.22</v>
          </cell>
        </row>
        <row r="226">
          <cell r="F226" t="str">
            <v>ESPECIALIZAÇÃO EM DOCÊNCIA DO ENSINO SUPERIOR</v>
          </cell>
          <cell r="G226" t="str">
            <v>Educação</v>
          </cell>
          <cell r="H226">
            <v>12</v>
          </cell>
          <cell r="I226">
            <v>19</v>
          </cell>
          <cell r="J226">
            <v>262.27804200000003</v>
          </cell>
          <cell r="K226">
            <v>4983.2827980000002</v>
          </cell>
          <cell r="L226">
            <v>0.5</v>
          </cell>
          <cell r="M226">
            <v>118.03</v>
          </cell>
          <cell r="N226">
            <v>2242.5700000000002</v>
          </cell>
          <cell r="O226">
            <v>0.54998138959722753</v>
          </cell>
          <cell r="P226">
            <v>0.55000000000000004</v>
          </cell>
          <cell r="Q226">
            <v>106.22</v>
          </cell>
        </row>
        <row r="227">
          <cell r="F227" t="str">
            <v>ESPECIALIZAÇÃO EM GESTÃO DA EDUCAÇÃO</v>
          </cell>
          <cell r="G227" t="str">
            <v>Educação</v>
          </cell>
          <cell r="H227">
            <v>12</v>
          </cell>
          <cell r="I227">
            <v>19</v>
          </cell>
          <cell r="J227">
            <v>262.27804200000003</v>
          </cell>
          <cell r="K227">
            <v>4983.2827980000002</v>
          </cell>
          <cell r="L227">
            <v>0.5</v>
          </cell>
          <cell r="M227">
            <v>118.03</v>
          </cell>
          <cell r="N227">
            <v>2242.5700000000002</v>
          </cell>
          <cell r="O227">
            <v>0.54998138959722753</v>
          </cell>
          <cell r="P227">
            <v>0.55000000000000004</v>
          </cell>
          <cell r="Q227">
            <v>106.22</v>
          </cell>
        </row>
        <row r="228">
          <cell r="F228" t="str">
            <v>ESPECIALIZAÇÃO EM NUTRIÇÃO ESPORTIVA</v>
          </cell>
          <cell r="G228" t="str">
            <v>Saúde</v>
          </cell>
          <cell r="H228">
            <v>12</v>
          </cell>
          <cell r="I228">
            <v>19</v>
          </cell>
          <cell r="J228">
            <v>291.43870800000002</v>
          </cell>
          <cell r="K228">
            <v>5537.3354520000003</v>
          </cell>
          <cell r="L228">
            <v>0.4</v>
          </cell>
          <cell r="M228">
            <v>157.38</v>
          </cell>
          <cell r="N228">
            <v>2990.22</v>
          </cell>
          <cell r="O228">
            <v>0.45998937107558135</v>
          </cell>
          <cell r="P228">
            <v>0.45</v>
          </cell>
          <cell r="Q228">
            <v>144.26</v>
          </cell>
        </row>
        <row r="229">
          <cell r="F229" t="str">
            <v>ESPECIALIZAÇÃO EM PSICOPEDAGOGIA ESCOLAR</v>
          </cell>
          <cell r="G229" t="str">
            <v>Educação</v>
          </cell>
          <cell r="H229">
            <v>12</v>
          </cell>
          <cell r="I229">
            <v>19</v>
          </cell>
          <cell r="J229">
            <v>262.27804200000003</v>
          </cell>
          <cell r="K229">
            <v>4983.2827980000002</v>
          </cell>
          <cell r="L229">
            <v>0.3</v>
          </cell>
          <cell r="M229">
            <v>165.24</v>
          </cell>
          <cell r="N229">
            <v>3139.5600000000004</v>
          </cell>
          <cell r="O229">
            <v>0.36998157093150785</v>
          </cell>
          <cell r="P229">
            <v>0.35</v>
          </cell>
          <cell r="Q229">
            <v>153.43</v>
          </cell>
        </row>
        <row r="230">
          <cell r="F230" t="str">
            <v>MBA EM GESTÃO DE PESSOAS</v>
          </cell>
          <cell r="G230" t="str">
            <v>Gestão</v>
          </cell>
          <cell r="H230">
            <v>15</v>
          </cell>
          <cell r="I230">
            <v>19</v>
          </cell>
          <cell r="J230">
            <v>320.59937400000007</v>
          </cell>
          <cell r="K230">
            <v>6091.3881060000012</v>
          </cell>
          <cell r="L230">
            <v>0.5</v>
          </cell>
          <cell r="M230">
            <v>144.27000000000001</v>
          </cell>
          <cell r="N230">
            <v>2741.13</v>
          </cell>
          <cell r="O230">
            <v>0.54999912133328133</v>
          </cell>
          <cell r="P230">
            <v>0.55000000000000004</v>
          </cell>
          <cell r="Q230">
            <v>129.84</v>
          </cell>
        </row>
        <row r="231">
          <cell r="F231" t="str">
            <v>MBA EM GESTÃO EMPRESARIAL</v>
          </cell>
          <cell r="G231" t="str">
            <v>Gestão</v>
          </cell>
          <cell r="H231">
            <v>15</v>
          </cell>
          <cell r="I231">
            <v>19</v>
          </cell>
          <cell r="J231">
            <v>320.59937400000007</v>
          </cell>
          <cell r="K231">
            <v>6091.3881060000012</v>
          </cell>
          <cell r="L231">
            <v>0.3</v>
          </cell>
          <cell r="M231">
            <v>201.98</v>
          </cell>
          <cell r="N231">
            <v>3837.62</v>
          </cell>
          <cell r="O231">
            <v>0.36999253155123146</v>
          </cell>
          <cell r="P231">
            <v>0.35</v>
          </cell>
          <cell r="Q231">
            <v>187.55</v>
          </cell>
        </row>
        <row r="232">
          <cell r="F232" t="str">
            <v>ESPECIALIZAÇÃO EM FARMÁCIA CLÍNICA E ATENÇÃO FARMACÊUTICA</v>
          </cell>
          <cell r="G232" t="str">
            <v>Saúde</v>
          </cell>
          <cell r="H232">
            <v>12</v>
          </cell>
          <cell r="I232">
            <v>19</v>
          </cell>
          <cell r="J232">
            <v>291.43870800000002</v>
          </cell>
          <cell r="K232">
            <v>5537.3354520000003</v>
          </cell>
          <cell r="L232">
            <v>0.5</v>
          </cell>
          <cell r="M232">
            <v>131.15</v>
          </cell>
          <cell r="N232">
            <v>2491.85</v>
          </cell>
          <cell r="O232">
            <v>0.54999114256298443</v>
          </cell>
          <cell r="P232">
            <v>0.55000000000000004</v>
          </cell>
          <cell r="Q232">
            <v>118.03</v>
          </cell>
        </row>
        <row r="233">
          <cell r="F233" t="str">
            <v>ESPECIALIZAÇÃO EM NEUROEDUCAÇÃO</v>
          </cell>
          <cell r="G233" t="str">
            <v>Educação</v>
          </cell>
          <cell r="H233">
            <v>12</v>
          </cell>
          <cell r="I233">
            <v>19</v>
          </cell>
          <cell r="J233">
            <v>262.27804200000003</v>
          </cell>
          <cell r="K233">
            <v>4983.2827980000002</v>
          </cell>
          <cell r="L233">
            <v>0.3</v>
          </cell>
          <cell r="M233">
            <v>165.24</v>
          </cell>
          <cell r="N233">
            <v>3139.5600000000004</v>
          </cell>
          <cell r="O233">
            <v>0.36998157093150785</v>
          </cell>
          <cell r="P233">
            <v>0.35</v>
          </cell>
          <cell r="Q233">
            <v>153.43</v>
          </cell>
        </row>
        <row r="234">
          <cell r="F234" t="str">
            <v>MBA EM LOGÍSTICA EMPRESARIAL</v>
          </cell>
          <cell r="G234" t="str">
            <v>Gestão</v>
          </cell>
          <cell r="H234">
            <v>18</v>
          </cell>
          <cell r="I234">
            <v>19</v>
          </cell>
          <cell r="J234">
            <v>320.59937400000007</v>
          </cell>
          <cell r="K234">
            <v>6091.3881060000012</v>
          </cell>
          <cell r="L234">
            <v>0.3</v>
          </cell>
          <cell r="M234">
            <v>201.98</v>
          </cell>
          <cell r="N234">
            <v>3837.62</v>
          </cell>
          <cell r="O234">
            <v>0.36999253155123146</v>
          </cell>
          <cell r="P234">
            <v>0.35</v>
          </cell>
          <cell r="Q234">
            <v>187.55</v>
          </cell>
        </row>
        <row r="235">
          <cell r="F235" t="str">
            <v>MBA EM GERENCIAMENTO DE PROJETOS</v>
          </cell>
          <cell r="G235" t="str">
            <v>Gestão</v>
          </cell>
          <cell r="H235">
            <v>15</v>
          </cell>
          <cell r="I235">
            <v>19</v>
          </cell>
          <cell r="J235">
            <v>320.59937400000007</v>
          </cell>
          <cell r="K235">
            <v>6091.3881060000012</v>
          </cell>
          <cell r="L235">
            <v>0.3</v>
          </cell>
          <cell r="M235">
            <v>201.98</v>
          </cell>
          <cell r="N235">
            <v>3837.62</v>
          </cell>
          <cell r="O235">
            <v>0.36999253155123146</v>
          </cell>
          <cell r="P235">
            <v>0.35</v>
          </cell>
          <cell r="Q235">
            <v>187.55</v>
          </cell>
        </row>
        <row r="236">
          <cell r="F236" t="str">
            <v>MBA EM AUDITORIA E CONTROLADORIA</v>
          </cell>
          <cell r="G236" t="str">
            <v>Gestão</v>
          </cell>
          <cell r="H236">
            <v>15</v>
          </cell>
          <cell r="I236">
            <v>19</v>
          </cell>
          <cell r="J236">
            <v>320.59937400000007</v>
          </cell>
          <cell r="K236">
            <v>6091.3881060000012</v>
          </cell>
          <cell r="L236">
            <v>0.5</v>
          </cell>
          <cell r="M236">
            <v>144.27000000000001</v>
          </cell>
          <cell r="N236">
            <v>2741.13</v>
          </cell>
          <cell r="O236">
            <v>0.54999912133328133</v>
          </cell>
          <cell r="P236">
            <v>0.55000000000000004</v>
          </cell>
          <cell r="Q236">
            <v>129.84</v>
          </cell>
        </row>
        <row r="237">
          <cell r="F237" t="str">
            <v>ESPECIALIZAÇÃO EM ENFERMAGEM EM UNIDADE DE TERAPIA INTENSIVA</v>
          </cell>
          <cell r="G237" t="str">
            <v>Saúde</v>
          </cell>
          <cell r="H237">
            <v>12</v>
          </cell>
          <cell r="I237">
            <v>19</v>
          </cell>
          <cell r="J237">
            <v>291.43870800000002</v>
          </cell>
          <cell r="K237">
            <v>5537.3354520000003</v>
          </cell>
          <cell r="L237">
            <v>0.5</v>
          </cell>
          <cell r="M237">
            <v>131.15</v>
          </cell>
          <cell r="N237">
            <v>2491.85</v>
          </cell>
          <cell r="O237">
            <v>0.54999114256298443</v>
          </cell>
          <cell r="P237">
            <v>0.55000000000000004</v>
          </cell>
          <cell r="Q237">
            <v>118.03</v>
          </cell>
        </row>
        <row r="238">
          <cell r="F238" t="str">
            <v>ESPECIALIZAÇÃO EM FISIOTERAPIA TRAUMATO-ORTOPÉDICA E DESPORTIVA</v>
          </cell>
          <cell r="G238" t="str">
            <v>Saúde</v>
          </cell>
          <cell r="H238">
            <v>12</v>
          </cell>
          <cell r="I238">
            <v>19</v>
          </cell>
          <cell r="J238">
            <v>291.43870800000002</v>
          </cell>
          <cell r="K238">
            <v>5537.3354520000003</v>
          </cell>
          <cell r="L238">
            <v>0.5</v>
          </cell>
          <cell r="M238">
            <v>131.15</v>
          </cell>
          <cell r="N238">
            <v>2491.85</v>
          </cell>
          <cell r="O238">
            <v>0.54999114256298443</v>
          </cell>
          <cell r="P238">
            <v>0.55000000000000004</v>
          </cell>
          <cell r="Q238">
            <v>118.03</v>
          </cell>
        </row>
        <row r="239">
          <cell r="F239" t="str">
            <v>ESPECIALIZAÇÃO EM NUTRIÇÃO CLÍNICA</v>
          </cell>
          <cell r="G239" t="str">
            <v>Saúde</v>
          </cell>
          <cell r="H239">
            <v>12</v>
          </cell>
          <cell r="I239">
            <v>19</v>
          </cell>
          <cell r="J239">
            <v>291.43870800000002</v>
          </cell>
          <cell r="K239">
            <v>5537.3354520000003</v>
          </cell>
          <cell r="L239">
            <v>0.5</v>
          </cell>
          <cell r="M239">
            <v>131.15</v>
          </cell>
          <cell r="N239">
            <v>2491.85</v>
          </cell>
          <cell r="O239">
            <v>0.54999114256298443</v>
          </cell>
          <cell r="P239">
            <v>0.55000000000000004</v>
          </cell>
          <cell r="Q239">
            <v>118.03</v>
          </cell>
        </row>
        <row r="240">
          <cell r="F240" t="str">
            <v>ESPECIALIZAÇÃO EM PSICOLOGIA ORGANIZACIONAL E DO TRABALHO</v>
          </cell>
          <cell r="G240" t="str">
            <v>Saúde</v>
          </cell>
          <cell r="H240">
            <v>12</v>
          </cell>
          <cell r="I240">
            <v>19</v>
          </cell>
          <cell r="J240">
            <v>291.43870800000002</v>
          </cell>
          <cell r="K240">
            <v>5537.3354520000003</v>
          </cell>
          <cell r="L240">
            <v>0.5</v>
          </cell>
          <cell r="M240">
            <v>131.15</v>
          </cell>
          <cell r="N240">
            <v>2491.85</v>
          </cell>
          <cell r="O240">
            <v>0.54999114256298443</v>
          </cell>
          <cell r="P240">
            <v>0.55000000000000004</v>
          </cell>
          <cell r="Q240">
            <v>118.03</v>
          </cell>
        </row>
        <row r="241">
          <cell r="F241" t="str">
            <v>ESPECIALIZAÇÃO EM SAÚDE MENTAL E TERAPIAS COGNITIVAS</v>
          </cell>
          <cell r="G241" t="str">
            <v>Saúde</v>
          </cell>
          <cell r="H241">
            <v>12</v>
          </cell>
          <cell r="I241">
            <v>19</v>
          </cell>
          <cell r="J241">
            <v>291.43870800000002</v>
          </cell>
          <cell r="K241">
            <v>5537.3354520000003</v>
          </cell>
          <cell r="L241">
            <v>0.5</v>
          </cell>
          <cell r="M241">
            <v>131.15</v>
          </cell>
          <cell r="N241">
            <v>2491.85</v>
          </cell>
          <cell r="O241">
            <v>0.54999114256298443</v>
          </cell>
          <cell r="P241">
            <v>0.55000000000000004</v>
          </cell>
          <cell r="Q241">
            <v>118.03</v>
          </cell>
        </row>
        <row r="242">
          <cell r="F242" t="str">
            <v>ESPECIALIZAÇÃO EM SAÚDE PÚBLICA COM ÊNFASE EM ATENÇÃO BÁSICA</v>
          </cell>
          <cell r="G242" t="str">
            <v>Saúde</v>
          </cell>
          <cell r="H242">
            <v>12</v>
          </cell>
          <cell r="I242">
            <v>19</v>
          </cell>
          <cell r="J242">
            <v>291.43870800000002</v>
          </cell>
          <cell r="K242">
            <v>5537.3354520000003</v>
          </cell>
          <cell r="L242">
            <v>0.5</v>
          </cell>
          <cell r="M242">
            <v>131.15</v>
          </cell>
          <cell r="N242">
            <v>2491.85</v>
          </cell>
          <cell r="O242">
            <v>0.54999114256298443</v>
          </cell>
          <cell r="P242">
            <v>0.55000000000000004</v>
          </cell>
          <cell r="Q242">
            <v>118.03</v>
          </cell>
        </row>
        <row r="243">
          <cell r="F243" t="str">
            <v>MBA EM GESTÃO HOSPITALAR E SISTEMAS DE SAÚDE</v>
          </cell>
          <cell r="G243" t="str">
            <v>Gestão</v>
          </cell>
          <cell r="H243">
            <v>15</v>
          </cell>
          <cell r="I243">
            <v>19</v>
          </cell>
          <cell r="J243">
            <v>320.59937400000007</v>
          </cell>
          <cell r="K243">
            <v>6091.3881060000012</v>
          </cell>
          <cell r="L243">
            <v>0.5</v>
          </cell>
          <cell r="M243">
            <v>144.27000000000001</v>
          </cell>
          <cell r="N243">
            <v>2741.13</v>
          </cell>
          <cell r="O243">
            <v>0.54999912133328133</v>
          </cell>
          <cell r="P243">
            <v>0.55000000000000004</v>
          </cell>
          <cell r="Q243">
            <v>129.84</v>
          </cell>
        </row>
        <row r="244">
          <cell r="F244" t="str">
            <v>MBA EM EMPREENDEDORISMO E GESTÃO DE NEGÓCIOS</v>
          </cell>
          <cell r="G244" t="str">
            <v>Gestão</v>
          </cell>
          <cell r="H244">
            <v>15</v>
          </cell>
          <cell r="I244">
            <v>19</v>
          </cell>
          <cell r="J244">
            <v>320.59937400000007</v>
          </cell>
          <cell r="K244">
            <v>6091.3881060000012</v>
          </cell>
          <cell r="L244">
            <v>0.3</v>
          </cell>
          <cell r="M244">
            <v>201.98</v>
          </cell>
          <cell r="N244">
            <v>3837.62</v>
          </cell>
          <cell r="O244">
            <v>0.36999253155123146</v>
          </cell>
          <cell r="P244">
            <v>0.35</v>
          </cell>
          <cell r="Q244">
            <v>187.55</v>
          </cell>
        </row>
        <row r="245">
          <cell r="F245" t="str">
            <v>ESPECIALIZAÇÃO EM CIÊNCIAS CRIMINAIS</v>
          </cell>
          <cell r="G245" t="str">
            <v>Direito</v>
          </cell>
          <cell r="H245">
            <v>12</v>
          </cell>
          <cell r="I245">
            <v>19</v>
          </cell>
          <cell r="J245">
            <v>262.27804200000003</v>
          </cell>
          <cell r="K245">
            <v>4983.2827980000002</v>
          </cell>
          <cell r="L245">
            <v>0.3</v>
          </cell>
          <cell r="M245">
            <v>165.24</v>
          </cell>
          <cell r="N245">
            <v>3139.5600000000004</v>
          </cell>
          <cell r="O245">
            <v>0.36998157093150785</v>
          </cell>
          <cell r="P245">
            <v>0.35</v>
          </cell>
          <cell r="Q245">
            <v>153.43</v>
          </cell>
        </row>
        <row r="246">
          <cell r="F246" t="str">
            <v>ESPECIALIZAÇÃO EM DIREITO PENAL E PROCESSO PENAL</v>
          </cell>
          <cell r="G246" t="str">
            <v>Direito</v>
          </cell>
          <cell r="H246">
            <v>12</v>
          </cell>
          <cell r="I246">
            <v>19</v>
          </cell>
          <cell r="J246">
            <v>262.27804200000003</v>
          </cell>
          <cell r="K246">
            <v>4983.2827980000002</v>
          </cell>
          <cell r="L246">
            <v>0.5</v>
          </cell>
          <cell r="M246">
            <v>118.03</v>
          </cell>
          <cell r="N246">
            <v>2242.5700000000002</v>
          </cell>
          <cell r="O246">
            <v>0.54998138959722753</v>
          </cell>
          <cell r="P246">
            <v>0.55000000000000004</v>
          </cell>
          <cell r="Q246">
            <v>106.22</v>
          </cell>
        </row>
        <row r="247">
          <cell r="F247" t="str">
            <v>ESPECIALIZAÇÃO EM DIREITO DO TRABALHO E PREVIDENCIÁRIO</v>
          </cell>
          <cell r="G247" t="str">
            <v>Direito</v>
          </cell>
          <cell r="H247">
            <v>12</v>
          </cell>
          <cell r="I247">
            <v>19</v>
          </cell>
          <cell r="J247">
            <v>262.27804200000003</v>
          </cell>
          <cell r="K247">
            <v>4983.2827980000002</v>
          </cell>
          <cell r="L247">
            <v>0.5</v>
          </cell>
          <cell r="M247">
            <v>118.03</v>
          </cell>
          <cell r="N247">
            <v>2242.5700000000002</v>
          </cell>
          <cell r="O247">
            <v>0.54998138959722753</v>
          </cell>
          <cell r="P247">
            <v>0.55000000000000004</v>
          </cell>
          <cell r="Q247">
            <v>106.22</v>
          </cell>
        </row>
        <row r="248">
          <cell r="F248" t="str">
            <v>ESPECIALIZAÇÃO EM BANCO DE DADOS ORACLE</v>
          </cell>
          <cell r="G248" t="str">
            <v>Tecnologia/Engenharia</v>
          </cell>
          <cell r="H248">
            <v>12</v>
          </cell>
          <cell r="I248">
            <v>19</v>
          </cell>
          <cell r="J248">
            <v>291.43870800000002</v>
          </cell>
          <cell r="K248">
            <v>5537.3354520000003</v>
          </cell>
          <cell r="L248">
            <v>0.5</v>
          </cell>
          <cell r="M248">
            <v>131.15</v>
          </cell>
          <cell r="N248">
            <v>2491.85</v>
          </cell>
          <cell r="O248">
            <v>0.54999114256298443</v>
          </cell>
          <cell r="P248">
            <v>0.55000000000000004</v>
          </cell>
          <cell r="Q248">
            <v>118.03</v>
          </cell>
        </row>
        <row r="249">
          <cell r="F249" t="str">
            <v>ESPECIALIZAÇÃO EM GESTÃO DE DEPARTAMENTO PESSOAL E LEGISLAÇÃO TRABALHISTA</v>
          </cell>
          <cell r="G249" t="str">
            <v>Gestão</v>
          </cell>
          <cell r="H249">
            <v>15</v>
          </cell>
          <cell r="I249">
            <v>19</v>
          </cell>
          <cell r="J249">
            <v>320.59937400000007</v>
          </cell>
          <cell r="K249">
            <v>6091.3881060000012</v>
          </cell>
          <cell r="L249">
            <v>0.3</v>
          </cell>
          <cell r="M249">
            <v>201.98</v>
          </cell>
          <cell r="N249">
            <v>3837.62</v>
          </cell>
          <cell r="O249">
            <v>0.36999253155123146</v>
          </cell>
          <cell r="P249">
            <v>0.35</v>
          </cell>
          <cell r="Q249">
            <v>187.55</v>
          </cell>
        </row>
        <row r="250">
          <cell r="F250" t="str">
            <v>ESPECIALIZAÇÃO EM LIBRAS, SAÚDE E EDUCAÇÃO ESPECIAL E INCLUSIVA</v>
          </cell>
          <cell r="G250" t="str">
            <v>Educação</v>
          </cell>
          <cell r="H250">
            <v>12</v>
          </cell>
          <cell r="I250">
            <v>19</v>
          </cell>
          <cell r="J250">
            <v>262.27804200000003</v>
          </cell>
          <cell r="K250">
            <v>4983.2827980000002</v>
          </cell>
          <cell r="L250">
            <v>0.4</v>
          </cell>
          <cell r="M250">
            <v>141.63</v>
          </cell>
          <cell r="N250">
            <v>2690.97</v>
          </cell>
          <cell r="O250">
            <v>0.46000054400284118</v>
          </cell>
          <cell r="P250">
            <v>0.45</v>
          </cell>
          <cell r="Q250">
            <v>129.83000000000001</v>
          </cell>
        </row>
        <row r="251">
          <cell r="F251" t="str">
            <v>ESPECIALIZAÇÃO EM ENFERMAGEM EM URGÊNCIA E EMERGÊNCIA</v>
          </cell>
          <cell r="G251" t="str">
            <v>Saúde</v>
          </cell>
          <cell r="H251">
            <v>12</v>
          </cell>
          <cell r="I251">
            <v>19</v>
          </cell>
          <cell r="J251">
            <v>291.43870800000002</v>
          </cell>
          <cell r="K251">
            <v>5537.3354520000003</v>
          </cell>
          <cell r="L251">
            <v>0.5</v>
          </cell>
          <cell r="M251">
            <v>131.15</v>
          </cell>
          <cell r="N251">
            <v>2491.85</v>
          </cell>
          <cell r="O251">
            <v>0.54999114256298443</v>
          </cell>
          <cell r="P251">
            <v>0.55000000000000004</v>
          </cell>
          <cell r="Q251">
            <v>118.03</v>
          </cell>
        </row>
        <row r="252">
          <cell r="F252" t="str">
            <v>MBA EM GESTÃO TRIBUTÁRIA</v>
          </cell>
          <cell r="G252" t="str">
            <v>Gestão</v>
          </cell>
          <cell r="H252">
            <v>15</v>
          </cell>
          <cell r="I252">
            <v>19</v>
          </cell>
          <cell r="J252">
            <v>320.59937400000007</v>
          </cell>
          <cell r="K252">
            <v>6091.3881060000012</v>
          </cell>
          <cell r="L252">
            <v>0.5</v>
          </cell>
          <cell r="M252">
            <v>144.27000000000001</v>
          </cell>
          <cell r="N252">
            <v>2741.13</v>
          </cell>
          <cell r="O252">
            <v>0.54999912133328133</v>
          </cell>
          <cell r="P252">
            <v>0.55000000000000004</v>
          </cell>
          <cell r="Q252">
            <v>129.84</v>
          </cell>
        </row>
        <row r="253">
          <cell r="F253" t="str">
            <v>ESPECIALIZAÇÃO EM PSICOPEDAGOGIA CLÍNICA, INSTITUCIONAL E HOSPITALAR</v>
          </cell>
          <cell r="G253" t="str">
            <v>Educação</v>
          </cell>
          <cell r="H253">
            <v>18</v>
          </cell>
          <cell r="I253">
            <v>19</v>
          </cell>
          <cell r="J253">
            <v>419.73304200000007</v>
          </cell>
          <cell r="K253">
            <v>7974.9277980000015</v>
          </cell>
          <cell r="L253">
            <v>0.5</v>
          </cell>
          <cell r="M253">
            <v>188.88</v>
          </cell>
          <cell r="N253">
            <v>3588.72</v>
          </cell>
          <cell r="O253">
            <v>0.54999968765861429</v>
          </cell>
          <cell r="P253">
            <v>0.55000000000000004</v>
          </cell>
          <cell r="Q253">
            <v>169.99</v>
          </cell>
        </row>
        <row r="254">
          <cell r="F254" t="str">
            <v>ESPECIALIZAÇÃO EM GESTÃO TRIBUTÁRIA, TRABALHISTA E PREVIDENCIÁRIA</v>
          </cell>
          <cell r="G254" t="str">
            <v>Gestão</v>
          </cell>
          <cell r="H254">
            <v>15</v>
          </cell>
          <cell r="I254">
            <v>19</v>
          </cell>
          <cell r="J254">
            <v>320.59937400000007</v>
          </cell>
          <cell r="K254">
            <v>6091.3881060000012</v>
          </cell>
          <cell r="L254">
            <v>0.5</v>
          </cell>
          <cell r="M254">
            <v>144.27000000000001</v>
          </cell>
          <cell r="N254">
            <v>2741.13</v>
          </cell>
          <cell r="O254">
            <v>0.54999912133328133</v>
          </cell>
          <cell r="P254">
            <v>0.55000000000000004</v>
          </cell>
          <cell r="Q254">
            <v>129.84</v>
          </cell>
        </row>
        <row r="255">
          <cell r="F255" t="str">
            <v>MBA EM GESTÃO DA QUALIDADE EM SAÚDE</v>
          </cell>
          <cell r="G255" t="str">
            <v>Gestão</v>
          </cell>
          <cell r="H255">
            <v>15</v>
          </cell>
          <cell r="I255">
            <v>19</v>
          </cell>
          <cell r="J255">
            <v>320.59937400000007</v>
          </cell>
          <cell r="K255">
            <v>6091.3881060000012</v>
          </cell>
          <cell r="L255">
            <v>0.3</v>
          </cell>
          <cell r="M255">
            <v>201.98</v>
          </cell>
          <cell r="N255">
            <v>3837.62</v>
          </cell>
          <cell r="O255">
            <v>0.36999253155123146</v>
          </cell>
          <cell r="P255">
            <v>0.35</v>
          </cell>
          <cell r="Q255">
            <v>187.55</v>
          </cell>
        </row>
        <row r="256">
          <cell r="F256" t="str">
            <v>ESPECIALIZAÇÃO EM REMUNERAÇÃO ESTRATÉGICA</v>
          </cell>
          <cell r="G256" t="str">
            <v>Gestão</v>
          </cell>
          <cell r="H256">
            <v>15</v>
          </cell>
          <cell r="I256">
            <v>19</v>
          </cell>
          <cell r="J256">
            <v>728.81720700000005</v>
          </cell>
          <cell r="K256">
            <v>13847.526933000001</v>
          </cell>
          <cell r="L256">
            <v>0</v>
          </cell>
          <cell r="M256">
            <v>655.94</v>
          </cell>
          <cell r="N256">
            <v>12462.86</v>
          </cell>
          <cell r="O256">
            <v>9.9993806814717479E-2</v>
          </cell>
          <cell r="P256">
            <v>0</v>
          </cell>
          <cell r="Q256">
            <v>655.94</v>
          </cell>
        </row>
        <row r="257">
          <cell r="F257" t="str">
            <v>ESPECIALIZAÇÃO EM COMERCIALIZAÇÃO DE ENERGIA ELÉTRICA</v>
          </cell>
          <cell r="G257" t="str">
            <v>Gestão</v>
          </cell>
          <cell r="H257">
            <v>12</v>
          </cell>
          <cell r="I257">
            <v>19</v>
          </cell>
          <cell r="J257">
            <v>524.85</v>
          </cell>
          <cell r="K257">
            <v>9972.15</v>
          </cell>
          <cell r="L257">
            <v>0.5</v>
          </cell>
          <cell r="M257">
            <v>236.18</v>
          </cell>
          <cell r="N257">
            <v>4487.42</v>
          </cell>
          <cell r="O257">
            <v>0.55000476326569503</v>
          </cell>
          <cell r="P257">
            <v>0.55000000000000004</v>
          </cell>
          <cell r="Q257">
            <v>212.56</v>
          </cell>
        </row>
        <row r="258">
          <cell r="F258" t="str">
            <v>MBA EM GESTÃO DE RISCOS, COMPLIANCE E LGPD</v>
          </cell>
          <cell r="G258" t="str">
            <v>Gestão</v>
          </cell>
          <cell r="H258">
            <v>15</v>
          </cell>
          <cell r="I258">
            <v>19</v>
          </cell>
          <cell r="J258">
            <v>320.59937400000007</v>
          </cell>
          <cell r="K258">
            <v>6091.3881060000012</v>
          </cell>
          <cell r="L258">
            <v>0.3</v>
          </cell>
          <cell r="M258">
            <v>201.98</v>
          </cell>
          <cell r="N258">
            <v>3837.62</v>
          </cell>
          <cell r="O258">
            <v>0.36999253155123146</v>
          </cell>
          <cell r="P258">
            <v>0.35</v>
          </cell>
          <cell r="Q258">
            <v>187.55</v>
          </cell>
        </row>
        <row r="259">
          <cell r="F259" t="str">
            <v>MBA EM INOVAÇÃO, DESIGN E ESTRATÉGIA</v>
          </cell>
          <cell r="G259" t="str">
            <v>Gestão</v>
          </cell>
          <cell r="H259">
            <v>15</v>
          </cell>
          <cell r="I259">
            <v>19</v>
          </cell>
          <cell r="J259">
            <v>320.59937400000007</v>
          </cell>
          <cell r="K259">
            <v>6091.3881060000012</v>
          </cell>
          <cell r="L259">
            <v>0.4</v>
          </cell>
          <cell r="M259">
            <v>173.12</v>
          </cell>
          <cell r="N259">
            <v>3289.28</v>
          </cell>
          <cell r="O259">
            <v>0.46001142223066238</v>
          </cell>
          <cell r="P259">
            <v>0.45</v>
          </cell>
          <cell r="Q259">
            <v>158.69999999999999</v>
          </cell>
        </row>
        <row r="260">
          <cell r="F260" t="str">
            <v>MBA EM GESTÃO EXECUTIVA DE VENDAS 5.0</v>
          </cell>
          <cell r="G260" t="str">
            <v>Gestão</v>
          </cell>
          <cell r="H260">
            <v>15</v>
          </cell>
          <cell r="I260">
            <v>19</v>
          </cell>
          <cell r="J260">
            <v>320.59937400000007</v>
          </cell>
          <cell r="K260">
            <v>6091.3881060000012</v>
          </cell>
          <cell r="L260">
            <v>0.5</v>
          </cell>
          <cell r="M260">
            <v>144.27000000000001</v>
          </cell>
          <cell r="N260">
            <v>2741.13</v>
          </cell>
          <cell r="O260">
            <v>0.54999912133328133</v>
          </cell>
          <cell r="P260">
            <v>0.55000000000000004</v>
          </cell>
          <cell r="Q260">
            <v>129.84</v>
          </cell>
        </row>
        <row r="261">
          <cell r="F261" t="str">
            <v>MBA EM INDÚSTRIA 5.0</v>
          </cell>
          <cell r="G261" t="str">
            <v>Gestão</v>
          </cell>
          <cell r="H261">
            <v>15</v>
          </cell>
          <cell r="I261">
            <v>19</v>
          </cell>
          <cell r="J261">
            <v>320.59937400000007</v>
          </cell>
          <cell r="K261">
            <v>6091.3881060000012</v>
          </cell>
          <cell r="L261">
            <v>0.4</v>
          </cell>
          <cell r="M261">
            <v>173.12</v>
          </cell>
          <cell r="N261">
            <v>3289.28</v>
          </cell>
          <cell r="O261">
            <v>0.46001142223066238</v>
          </cell>
          <cell r="P261">
            <v>0.45</v>
          </cell>
          <cell r="Q261">
            <v>158.69999999999999</v>
          </cell>
        </row>
        <row r="262">
          <cell r="F262" t="str">
            <v>ESPECIALIZAÇÃO EM COACHING E DESENVOLVIMENTO DE LIDERANÇAS</v>
          </cell>
          <cell r="G262" t="str">
            <v>Gestão</v>
          </cell>
          <cell r="H262">
            <v>12</v>
          </cell>
          <cell r="I262">
            <v>19</v>
          </cell>
          <cell r="J262">
            <v>320.59937400000007</v>
          </cell>
          <cell r="K262">
            <v>6091.3881060000012</v>
          </cell>
          <cell r="L262">
            <v>0.3</v>
          </cell>
          <cell r="M262">
            <v>201.98</v>
          </cell>
          <cell r="N262">
            <v>3837.62</v>
          </cell>
          <cell r="O262">
            <v>0.36999253155123146</v>
          </cell>
          <cell r="P262">
            <v>0.35</v>
          </cell>
          <cell r="Q262">
            <v>187.55</v>
          </cell>
        </row>
        <row r="263">
          <cell r="F263" t="str">
            <v>ESPECIALIZAÇÃO EM FISIOTERAPIA DERMATOFUNCIONAL</v>
          </cell>
          <cell r="G263" t="str">
            <v>Saúde</v>
          </cell>
          <cell r="H263">
            <v>12</v>
          </cell>
          <cell r="I263">
            <v>19</v>
          </cell>
          <cell r="J263">
            <v>291.43870800000002</v>
          </cell>
          <cell r="K263">
            <v>5537.3354520000003</v>
          </cell>
          <cell r="L263">
            <v>0.4</v>
          </cell>
          <cell r="M263">
            <v>157.38</v>
          </cell>
          <cell r="N263">
            <v>2990.22</v>
          </cell>
          <cell r="O263">
            <v>0.45998937107558135</v>
          </cell>
          <cell r="P263">
            <v>0.45</v>
          </cell>
          <cell r="Q263">
            <v>144.26</v>
          </cell>
        </row>
        <row r="264">
          <cell r="F264" t="str">
            <v>ESPECIALIZAÇÃO EM FISIOTERAPIA EM UNIDADE DE TERAPIA INTENSIVA</v>
          </cell>
          <cell r="G264" t="str">
            <v>Saúde</v>
          </cell>
          <cell r="H264">
            <v>12</v>
          </cell>
          <cell r="I264">
            <v>19</v>
          </cell>
          <cell r="J264">
            <v>291.43870800000002</v>
          </cell>
          <cell r="K264">
            <v>5537.3354520000003</v>
          </cell>
          <cell r="L264">
            <v>0.3</v>
          </cell>
          <cell r="M264">
            <v>183.61</v>
          </cell>
          <cell r="N264">
            <v>3488.59</v>
          </cell>
          <cell r="O264">
            <v>0.36998759958817828</v>
          </cell>
          <cell r="P264">
            <v>0.35</v>
          </cell>
          <cell r="Q264">
            <v>170.49</v>
          </cell>
        </row>
        <row r="265">
          <cell r="F265" t="str">
            <v>ESPECIALIZAÇÃO EM ANÁLISES CLÍNICAS E DIAGNÓSTICO LABORATORIAL</v>
          </cell>
          <cell r="G265" t="str">
            <v>Saúde</v>
          </cell>
          <cell r="H265">
            <v>12</v>
          </cell>
          <cell r="I265">
            <v>19</v>
          </cell>
          <cell r="J265">
            <v>291.43870800000002</v>
          </cell>
          <cell r="K265">
            <v>5537.3354520000003</v>
          </cell>
          <cell r="L265">
            <v>0.5</v>
          </cell>
          <cell r="M265">
            <v>131.15</v>
          </cell>
          <cell r="N265">
            <v>2491.85</v>
          </cell>
          <cell r="O265">
            <v>0.54999114256298443</v>
          </cell>
          <cell r="P265">
            <v>0.55000000000000004</v>
          </cell>
          <cell r="Q265">
            <v>118.03</v>
          </cell>
        </row>
        <row r="266">
          <cell r="F266" t="str">
            <v>ESPECIALIZAÇÃO EM NEUROCIÊNCIAS E COMPORTAMENTO HUMANO</v>
          </cell>
          <cell r="G266" t="str">
            <v>Saúde</v>
          </cell>
          <cell r="H266">
            <v>12</v>
          </cell>
          <cell r="I266">
            <v>19</v>
          </cell>
          <cell r="J266">
            <v>291.43870800000002</v>
          </cell>
          <cell r="K266">
            <v>5537.3354520000003</v>
          </cell>
          <cell r="L266">
            <v>0.5</v>
          </cell>
          <cell r="M266">
            <v>131.15</v>
          </cell>
          <cell r="N266">
            <v>2491.85</v>
          </cell>
          <cell r="O266">
            <v>0.54999114256298443</v>
          </cell>
          <cell r="P266">
            <v>0.55000000000000004</v>
          </cell>
          <cell r="Q266">
            <v>118.03</v>
          </cell>
        </row>
        <row r="267">
          <cell r="F267" t="str">
            <v>MBA EM DATA SCIENCE, ANALYTICS e BI</v>
          </cell>
          <cell r="G267" t="str">
            <v>Tecnologia/Engenharia</v>
          </cell>
          <cell r="H267">
            <v>15</v>
          </cell>
          <cell r="I267">
            <v>19</v>
          </cell>
          <cell r="J267">
            <v>320.59937400000007</v>
          </cell>
          <cell r="K267">
            <v>6091.3881060000012</v>
          </cell>
          <cell r="L267">
            <v>0.4</v>
          </cell>
          <cell r="M267">
            <v>173.12</v>
          </cell>
          <cell r="N267">
            <v>3289.28</v>
          </cell>
          <cell r="O267">
            <v>0.46001142223066238</v>
          </cell>
          <cell r="P267">
            <v>0.45</v>
          </cell>
          <cell r="Q267">
            <v>158.69999999999999</v>
          </cell>
        </row>
        <row r="268">
          <cell r="F268" t="str">
            <v>ESPECIALIZAÇÃO EM SEXOLOGIA E SEXUALIDADE HUMANA</v>
          </cell>
          <cell r="G268" t="str">
            <v>Saúde</v>
          </cell>
          <cell r="H268">
            <v>12</v>
          </cell>
          <cell r="I268">
            <v>19</v>
          </cell>
          <cell r="J268">
            <v>291.43870800000002</v>
          </cell>
          <cell r="K268">
            <v>5537.3354520000003</v>
          </cell>
          <cell r="L268">
            <v>0.5</v>
          </cell>
          <cell r="M268">
            <v>131.15</v>
          </cell>
          <cell r="N268">
            <v>2491.85</v>
          </cell>
          <cell r="O268">
            <v>0.54999114256298443</v>
          </cell>
          <cell r="P268">
            <v>0.55000000000000004</v>
          </cell>
          <cell r="Q268">
            <v>118.03</v>
          </cell>
        </row>
        <row r="269">
          <cell r="F269" t="str">
            <v>ESPECIALIZAÇÃO EM SEGURANÇA DA INFORMAÇÃO</v>
          </cell>
          <cell r="G269" t="str">
            <v>Tecnologia/Engenharia</v>
          </cell>
          <cell r="H269">
            <v>12</v>
          </cell>
          <cell r="I269">
            <v>19</v>
          </cell>
          <cell r="J269">
            <v>291.43870800000002</v>
          </cell>
          <cell r="K269">
            <v>5537.3354520000003</v>
          </cell>
          <cell r="L269">
            <v>0.4</v>
          </cell>
          <cell r="M269">
            <v>157.38</v>
          </cell>
          <cell r="N269">
            <v>2990.22</v>
          </cell>
          <cell r="O269">
            <v>0.45998937107558135</v>
          </cell>
          <cell r="P269">
            <v>0.45</v>
          </cell>
          <cell r="Q269">
            <v>144.26</v>
          </cell>
        </row>
        <row r="270">
          <cell r="F270" t="str">
            <v>ESPECIALIZAÇÃO EM TESTE E QUALIDADE DE SOFTWARE</v>
          </cell>
          <cell r="G270" t="str">
            <v>Tecnologia/Engenharia</v>
          </cell>
          <cell r="H270">
            <v>12</v>
          </cell>
          <cell r="I270">
            <v>19</v>
          </cell>
          <cell r="J270">
            <v>291.43870800000002</v>
          </cell>
          <cell r="K270">
            <v>5537.3354520000003</v>
          </cell>
          <cell r="L270">
            <v>0.3</v>
          </cell>
          <cell r="M270">
            <v>183.61</v>
          </cell>
          <cell r="N270">
            <v>3488.59</v>
          </cell>
          <cell r="O270">
            <v>0.36998759958817828</v>
          </cell>
          <cell r="P270">
            <v>0.35</v>
          </cell>
          <cell r="Q270">
            <v>170.49</v>
          </cell>
        </row>
        <row r="271">
          <cell r="F271" t="str">
            <v>ESPECIALIZAÇÃO EM DIREITO DIGITAL, INOVAÇÃO E STARTUPS</v>
          </cell>
          <cell r="G271" t="str">
            <v>Direito</v>
          </cell>
          <cell r="H271">
            <v>12</v>
          </cell>
          <cell r="I271">
            <v>19</v>
          </cell>
          <cell r="J271">
            <v>262.27804200000003</v>
          </cell>
          <cell r="K271">
            <v>4983.2827980000002</v>
          </cell>
          <cell r="L271">
            <v>0.5</v>
          </cell>
          <cell r="M271">
            <v>118.03</v>
          </cell>
          <cell r="N271">
            <v>2242.5700000000002</v>
          </cell>
          <cell r="O271">
            <v>0.54998138959722753</v>
          </cell>
          <cell r="P271">
            <v>0.55000000000000004</v>
          </cell>
          <cell r="Q271">
            <v>106.22</v>
          </cell>
        </row>
        <row r="272">
          <cell r="F272" t="str">
            <v>ESPECIALIZAÇÃO EM DIREITO LICITATÓRIO E CONTRATAÇÕES PÚBLICAS</v>
          </cell>
          <cell r="G272" t="str">
            <v>Direito</v>
          </cell>
          <cell r="H272">
            <v>12</v>
          </cell>
          <cell r="I272">
            <v>19</v>
          </cell>
          <cell r="J272">
            <v>262.27804200000003</v>
          </cell>
          <cell r="K272">
            <v>4983.2827980000002</v>
          </cell>
          <cell r="L272">
            <v>0.3</v>
          </cell>
          <cell r="M272">
            <v>165.24</v>
          </cell>
          <cell r="N272">
            <v>3139.5600000000004</v>
          </cell>
          <cell r="O272">
            <v>0.36998157093150785</v>
          </cell>
          <cell r="P272">
            <v>0.35</v>
          </cell>
          <cell r="Q272">
            <v>153.43</v>
          </cell>
        </row>
        <row r="273">
          <cell r="F273" t="str">
            <v>ESPECIALIZAÇÃO EM DIREITO PROCESSUAL: ADMIN., CONSTITUCIONAL, CIVIL, PENAL, TRABALHISTA E TRIBUTÁRIO</v>
          </cell>
          <cell r="G273" t="str">
            <v>Direito</v>
          </cell>
          <cell r="H273">
            <v>12</v>
          </cell>
          <cell r="I273">
            <v>19</v>
          </cell>
          <cell r="J273">
            <v>262.27804200000003</v>
          </cell>
          <cell r="K273">
            <v>4983.2827980000002</v>
          </cell>
          <cell r="L273">
            <v>0.5</v>
          </cell>
          <cell r="M273">
            <v>118.03</v>
          </cell>
          <cell r="N273">
            <v>2242.5700000000002</v>
          </cell>
          <cell r="O273">
            <v>0.54998138959722753</v>
          </cell>
          <cell r="P273">
            <v>0.55000000000000004</v>
          </cell>
          <cell r="Q273">
            <v>106.22</v>
          </cell>
        </row>
        <row r="274">
          <cell r="F274" t="str">
            <v>ESPECIALIZAÇÃO EM DIREITO PÚBLICO: CONSTITUCIONAL, ADMINISTRATIVO E TRIBUTÁRIO</v>
          </cell>
          <cell r="G274" t="str">
            <v>Direito</v>
          </cell>
          <cell r="H274">
            <v>12</v>
          </cell>
          <cell r="I274">
            <v>19</v>
          </cell>
          <cell r="J274">
            <v>262.27804200000003</v>
          </cell>
          <cell r="K274">
            <v>4983.2827980000002</v>
          </cell>
          <cell r="L274">
            <v>0.4</v>
          </cell>
          <cell r="M274">
            <v>141.63</v>
          </cell>
          <cell r="N274">
            <v>2690.97</v>
          </cell>
          <cell r="O274">
            <v>0.46000054400284118</v>
          </cell>
          <cell r="P274">
            <v>0.45</v>
          </cell>
          <cell r="Q274">
            <v>129.83000000000001</v>
          </cell>
        </row>
        <row r="275">
          <cell r="F275" t="str">
            <v>ESPECIALIZAÇÃO EM DIREITO PÚBLICO COM ÊNFASE EM CONSTITUCIONAL E ADMINISTRATIVO</v>
          </cell>
          <cell r="G275" t="str">
            <v>Direito</v>
          </cell>
          <cell r="H275">
            <v>12</v>
          </cell>
          <cell r="I275">
            <v>19</v>
          </cell>
          <cell r="J275">
            <v>262.27804200000003</v>
          </cell>
          <cell r="K275">
            <v>4983.2827980000002</v>
          </cell>
          <cell r="L275">
            <v>0.5</v>
          </cell>
          <cell r="M275">
            <v>118.03</v>
          </cell>
          <cell r="N275">
            <v>2242.5700000000002</v>
          </cell>
          <cell r="O275">
            <v>0.54998138959722753</v>
          </cell>
          <cell r="P275">
            <v>0.55000000000000004</v>
          </cell>
          <cell r="Q275">
            <v>106.22</v>
          </cell>
        </row>
        <row r="276">
          <cell r="F276" t="str">
            <v>ESPECIALIZAÇÃO EM NEUROMARKETING &amp; CIÊNCIA DO CONSUMO</v>
          </cell>
          <cell r="G276" t="str">
            <v>Comunicação</v>
          </cell>
          <cell r="H276">
            <v>12</v>
          </cell>
          <cell r="I276">
            <v>19</v>
          </cell>
          <cell r="J276">
            <v>291.43870800000002</v>
          </cell>
          <cell r="K276">
            <v>5537.3354520000003</v>
          </cell>
          <cell r="L276">
            <v>0.5</v>
          </cell>
          <cell r="M276">
            <v>131.15</v>
          </cell>
          <cell r="N276">
            <v>2491.85</v>
          </cell>
          <cell r="O276">
            <v>0.54999114256298443</v>
          </cell>
          <cell r="P276">
            <v>0.55000000000000004</v>
          </cell>
          <cell r="Q276">
            <v>118.03</v>
          </cell>
        </row>
        <row r="277">
          <cell r="F277" t="str">
            <v>ESPECIALIZAÇÃO EM ALFABETIZAÇÃO E LETRAMENTO</v>
          </cell>
          <cell r="G277" t="str">
            <v>Educação</v>
          </cell>
          <cell r="H277">
            <v>12</v>
          </cell>
          <cell r="I277">
            <v>19</v>
          </cell>
          <cell r="J277">
            <v>262.27804200000003</v>
          </cell>
          <cell r="K277">
            <v>4983.2827980000002</v>
          </cell>
          <cell r="L277">
            <v>0.5</v>
          </cell>
          <cell r="M277">
            <v>118.03</v>
          </cell>
          <cell r="N277">
            <v>2242.5700000000002</v>
          </cell>
          <cell r="O277">
            <v>0.54998138959722753</v>
          </cell>
          <cell r="P277">
            <v>0.55000000000000004</v>
          </cell>
          <cell r="Q277">
            <v>106.22</v>
          </cell>
        </row>
        <row r="278">
          <cell r="F278" t="str">
            <v>ESPECIALIZAÇÃO EM TEA – TRANSTORNO DO ESPECTRO AUTISTA</v>
          </cell>
          <cell r="G278" t="str">
            <v>Educação</v>
          </cell>
          <cell r="H278">
            <v>12</v>
          </cell>
          <cell r="I278">
            <v>19</v>
          </cell>
          <cell r="J278">
            <v>262.27804200000003</v>
          </cell>
          <cell r="K278">
            <v>4983.2827980000002</v>
          </cell>
          <cell r="L278">
            <v>0.3</v>
          </cell>
          <cell r="M278">
            <v>165.24</v>
          </cell>
          <cell r="N278">
            <v>3139.5600000000004</v>
          </cell>
          <cell r="O278">
            <v>0.36998157093150785</v>
          </cell>
          <cell r="P278">
            <v>0.35</v>
          </cell>
          <cell r="Q278">
            <v>153.43</v>
          </cell>
        </row>
        <row r="279">
          <cell r="F279" t="str">
            <v>ESPECIALIZAÇÃO EM LINGUÍSTICA E ENSINO DA LÍNGUA PORTUGUESA</v>
          </cell>
          <cell r="G279" t="str">
            <v>Educação</v>
          </cell>
          <cell r="H279">
            <v>12</v>
          </cell>
          <cell r="I279">
            <v>19</v>
          </cell>
          <cell r="J279">
            <v>262.27804200000003</v>
          </cell>
          <cell r="K279">
            <v>4983.2827980000002</v>
          </cell>
          <cell r="L279">
            <v>0.4</v>
          </cell>
          <cell r="M279">
            <v>141.63</v>
          </cell>
          <cell r="N279">
            <v>2690.97</v>
          </cell>
          <cell r="O279">
            <v>0.46000054400284118</v>
          </cell>
          <cell r="P279">
            <v>0.45</v>
          </cell>
          <cell r="Q279">
            <v>129.83000000000001</v>
          </cell>
        </row>
        <row r="280">
          <cell r="F280" t="str">
            <v>ESPECIALIZAÇÃO EM FISIOLOGIA, CINESIOLOGIA E BIOMECÂNICA APLICADAS AO EXERCÍCIO</v>
          </cell>
          <cell r="G280" t="str">
            <v>Saúde</v>
          </cell>
          <cell r="H280">
            <v>12</v>
          </cell>
          <cell r="I280">
            <v>19</v>
          </cell>
          <cell r="J280">
            <v>291.43870800000002</v>
          </cell>
          <cell r="K280">
            <v>5537.3354520000003</v>
          </cell>
          <cell r="L280">
            <v>0.5</v>
          </cell>
          <cell r="M280">
            <v>131.15</v>
          </cell>
          <cell r="N280">
            <v>2491.85</v>
          </cell>
          <cell r="O280">
            <v>0.54999114256298443</v>
          </cell>
          <cell r="P280">
            <v>0.55000000000000004</v>
          </cell>
          <cell r="Q280">
            <v>118.03</v>
          </cell>
        </row>
        <row r="281">
          <cell r="F281" t="str">
            <v>ESPECIALIZAÇÃO EM IMAGINOLOGIA COM ÊNFASE EM TOMOGRAFIA COMPUTADORIZADA E RESSONÂNCIA MAGNÉTICA</v>
          </cell>
          <cell r="G281" t="str">
            <v>Saúde</v>
          </cell>
          <cell r="H281">
            <v>12</v>
          </cell>
          <cell r="I281">
            <v>19</v>
          </cell>
          <cell r="J281">
            <v>291.43870800000002</v>
          </cell>
          <cell r="K281">
            <v>5537.3354520000003</v>
          </cell>
          <cell r="L281">
            <v>0.5</v>
          </cell>
          <cell r="M281">
            <v>131.15</v>
          </cell>
          <cell r="N281">
            <v>2491.85</v>
          </cell>
          <cell r="O281">
            <v>0.54999114256298443</v>
          </cell>
          <cell r="P281">
            <v>0.55000000000000004</v>
          </cell>
          <cell r="Q281">
            <v>118.03</v>
          </cell>
        </row>
        <row r="282">
          <cell r="F282" t="str">
            <v>ESPECIALIZAÇÃO EM VIOLÊNCIA DE GÊNERO DIREITO, SAÚDE E DIVERSIDADE</v>
          </cell>
          <cell r="G282" t="str">
            <v>Direito</v>
          </cell>
          <cell r="H282">
            <v>12</v>
          </cell>
          <cell r="I282">
            <v>19</v>
          </cell>
          <cell r="J282">
            <v>262.27804200000003</v>
          </cell>
          <cell r="K282">
            <v>4983.2827980000002</v>
          </cell>
          <cell r="L282">
            <v>0.5</v>
          </cell>
          <cell r="M282">
            <v>118.03</v>
          </cell>
          <cell r="N282">
            <v>2242.5700000000002</v>
          </cell>
          <cell r="O282">
            <v>0.54998138959722753</v>
          </cell>
          <cell r="P282">
            <v>0.55000000000000004</v>
          </cell>
          <cell r="Q282">
            <v>106.22</v>
          </cell>
        </row>
        <row r="283">
          <cell r="F283" t="str">
            <v>MBA EM FINANÇAS CORPORATIVAS</v>
          </cell>
          <cell r="G283" t="str">
            <v>Gestão</v>
          </cell>
          <cell r="H283">
            <v>12</v>
          </cell>
          <cell r="I283">
            <v>19</v>
          </cell>
          <cell r="J283">
            <v>320.59937400000007</v>
          </cell>
          <cell r="K283">
            <v>6091.3881060000012</v>
          </cell>
          <cell r="L283">
            <v>0.5</v>
          </cell>
          <cell r="M283">
            <v>144.27000000000001</v>
          </cell>
          <cell r="N283">
            <v>2741.13</v>
          </cell>
          <cell r="O283">
            <v>0.54999912133328133</v>
          </cell>
          <cell r="P283">
            <v>0.55000000000000004</v>
          </cell>
          <cell r="Q283">
            <v>129.84</v>
          </cell>
        </row>
        <row r="284">
          <cell r="F284" t="str">
            <v>MBA EM ENGENHARIA DE SOFTWARE</v>
          </cell>
          <cell r="G284" t="str">
            <v>Tecnologia/Engenharia</v>
          </cell>
          <cell r="H284">
            <v>15</v>
          </cell>
          <cell r="I284">
            <v>19</v>
          </cell>
          <cell r="J284">
            <v>320.59937400000007</v>
          </cell>
          <cell r="K284">
            <v>6091.3881060000012</v>
          </cell>
          <cell r="L284">
            <v>0.5</v>
          </cell>
          <cell r="M284">
            <v>144.27000000000001</v>
          </cell>
          <cell r="N284">
            <v>2741.13</v>
          </cell>
          <cell r="O284">
            <v>0.54999912133328133</v>
          </cell>
          <cell r="P284">
            <v>0.55000000000000004</v>
          </cell>
          <cell r="Q284">
            <v>129.84</v>
          </cell>
        </row>
        <row r="285">
          <cell r="F285" t="str">
            <v>ESPECIALIZAÇÃO EM SOLUÇÃO DE CONFLITOS: MEDIAÇÃO E ARBITRAGEM</v>
          </cell>
          <cell r="G285" t="str">
            <v>Direito</v>
          </cell>
          <cell r="H285">
            <v>12</v>
          </cell>
          <cell r="I285">
            <v>19</v>
          </cell>
          <cell r="J285">
            <v>262.27804200000003</v>
          </cell>
          <cell r="K285">
            <v>4983.2827980000002</v>
          </cell>
          <cell r="L285">
            <v>0.4</v>
          </cell>
          <cell r="M285">
            <v>141.63</v>
          </cell>
          <cell r="N285">
            <v>2690.97</v>
          </cell>
          <cell r="O285">
            <v>0.46000054400284118</v>
          </cell>
          <cell r="P285">
            <v>0.45</v>
          </cell>
          <cell r="Q285">
            <v>129.83000000000001</v>
          </cell>
        </row>
        <row r="286">
          <cell r="F286" t="str">
            <v>ESPECIALIZAÇÃO EM MARKETING ESTRATÉGICO EM MÍDIAS E NEGÓCIOS DIGITAIS</v>
          </cell>
          <cell r="G286" t="str">
            <v>Comunicação</v>
          </cell>
          <cell r="H286">
            <v>12</v>
          </cell>
          <cell r="I286">
            <v>19</v>
          </cell>
          <cell r="J286">
            <v>291.43870800000002</v>
          </cell>
          <cell r="K286">
            <v>5537.3354520000003</v>
          </cell>
          <cell r="L286">
            <v>0.3</v>
          </cell>
          <cell r="M286">
            <v>183.61</v>
          </cell>
          <cell r="N286">
            <v>3488.59</v>
          </cell>
          <cell r="O286">
            <v>0.36998759958817828</v>
          </cell>
          <cell r="P286">
            <v>0.35</v>
          </cell>
          <cell r="Q286">
            <v>170.49</v>
          </cell>
        </row>
        <row r="287">
          <cell r="F287" t="str">
            <v>ESPECIALIZAÇÃO EM ESTUDOS FORENSE E CRIMINAL APLICADOS</v>
          </cell>
          <cell r="G287" t="str">
            <v>Direito</v>
          </cell>
          <cell r="H287">
            <v>15</v>
          </cell>
          <cell r="I287">
            <v>19</v>
          </cell>
          <cell r="J287">
            <v>419.73304200000007</v>
          </cell>
          <cell r="K287">
            <v>7974.9277980000015</v>
          </cell>
          <cell r="L287">
            <v>0.4</v>
          </cell>
          <cell r="M287">
            <v>226.66</v>
          </cell>
          <cell r="N287">
            <v>4306.54</v>
          </cell>
          <cell r="O287">
            <v>0.45999009532349389</v>
          </cell>
          <cell r="P287">
            <v>0.45</v>
          </cell>
          <cell r="Q287">
            <v>207.77</v>
          </cell>
        </row>
        <row r="288">
          <cell r="F288" t="str">
            <v>ESPECIALIZAÇÃO EM DIREITO TRIBUTÁRIO</v>
          </cell>
          <cell r="G288" t="str">
            <v>Direito</v>
          </cell>
          <cell r="H288">
            <v>12</v>
          </cell>
          <cell r="I288">
            <v>19</v>
          </cell>
          <cell r="J288">
            <v>262.27804200000003</v>
          </cell>
          <cell r="K288">
            <v>4983.2827980000002</v>
          </cell>
          <cell r="L288">
            <v>0.4</v>
          </cell>
          <cell r="M288">
            <v>141.63</v>
          </cell>
          <cell r="N288">
            <v>2690.97</v>
          </cell>
          <cell r="O288">
            <v>0.46000054400284118</v>
          </cell>
          <cell r="P288">
            <v>0.45</v>
          </cell>
          <cell r="Q288">
            <v>129.83000000000001</v>
          </cell>
        </row>
        <row r="289">
          <cell r="F289" t="str">
            <v>ESPECIALIZAÇÃO EM DIREITO EMPRESARIAL</v>
          </cell>
          <cell r="G289" t="str">
            <v>Direito</v>
          </cell>
          <cell r="H289">
            <v>12</v>
          </cell>
          <cell r="I289">
            <v>19</v>
          </cell>
          <cell r="J289">
            <v>262.27804200000003</v>
          </cell>
          <cell r="K289">
            <v>4983.2827980000002</v>
          </cell>
          <cell r="L289">
            <v>0.5</v>
          </cell>
          <cell r="M289">
            <v>118.03</v>
          </cell>
          <cell r="N289">
            <v>2242.5700000000002</v>
          </cell>
          <cell r="O289">
            <v>0.54998138959722753</v>
          </cell>
          <cell r="P289">
            <v>0.55000000000000004</v>
          </cell>
          <cell r="Q289">
            <v>106.22</v>
          </cell>
        </row>
        <row r="290">
          <cell r="F290" t="str">
            <v>ESPECIALIZAÇÃO EM DIREITO IMOBILIÁRIO</v>
          </cell>
          <cell r="G290" t="str">
            <v>Direito</v>
          </cell>
          <cell r="H290">
            <v>12</v>
          </cell>
          <cell r="I290">
            <v>19</v>
          </cell>
          <cell r="J290">
            <v>262.27804200000003</v>
          </cell>
          <cell r="K290">
            <v>4983.2827980000002</v>
          </cell>
          <cell r="L290">
            <v>0.3</v>
          </cell>
          <cell r="M290">
            <v>165.24</v>
          </cell>
          <cell r="N290">
            <v>3139.5600000000004</v>
          </cell>
          <cell r="O290">
            <v>0.36998157093150785</v>
          </cell>
          <cell r="P290">
            <v>0.35</v>
          </cell>
          <cell r="Q290">
            <v>153.43</v>
          </cell>
        </row>
        <row r="291">
          <cell r="F291" t="str">
            <v>ESPECIALIZAÇÃO EM ENGENHARIA DA MANUTENÇÃO</v>
          </cell>
          <cell r="G291" t="str">
            <v>Tecnologia/Engenharia</v>
          </cell>
          <cell r="H291">
            <v>12</v>
          </cell>
          <cell r="I291">
            <v>19</v>
          </cell>
          <cell r="J291">
            <v>320.59937400000007</v>
          </cell>
          <cell r="K291">
            <v>6091.3881060000012</v>
          </cell>
          <cell r="L291">
            <v>0.3</v>
          </cell>
          <cell r="M291">
            <v>201.98</v>
          </cell>
          <cell r="N291">
            <v>3837.62</v>
          </cell>
          <cell r="O291">
            <v>0.36999253155123146</v>
          </cell>
          <cell r="P291">
            <v>0.35</v>
          </cell>
          <cell r="Q291">
            <v>187.55</v>
          </cell>
        </row>
        <row r="292">
          <cell r="F292" t="str">
            <v>MBA EM ESG: RESPONSABILIDADE SOCIAL, AMBIENTAL E GOVERNANÇA CORPORATIVA</v>
          </cell>
          <cell r="G292" t="str">
            <v>Gestão</v>
          </cell>
          <cell r="H292">
            <v>14</v>
          </cell>
          <cell r="I292">
            <v>19</v>
          </cell>
          <cell r="J292">
            <v>524.85</v>
          </cell>
          <cell r="K292">
            <v>9972.15</v>
          </cell>
          <cell r="L292">
            <v>0.4</v>
          </cell>
          <cell r="M292">
            <v>283.42</v>
          </cell>
          <cell r="N292">
            <v>5384.9800000000005</v>
          </cell>
          <cell r="O292">
            <v>0.45999809469372199</v>
          </cell>
          <cell r="P292">
            <v>0.45</v>
          </cell>
          <cell r="Q292">
            <v>259.8</v>
          </cell>
        </row>
        <row r="293">
          <cell r="F293" t="str">
            <v>ESPECIALIZAÇÃO EM ENFERMAGEM DO TRABALHO</v>
          </cell>
          <cell r="G293" t="str">
            <v>Saúde</v>
          </cell>
          <cell r="H293">
            <v>12</v>
          </cell>
          <cell r="I293">
            <v>19</v>
          </cell>
          <cell r="J293">
            <v>291.43870800000002</v>
          </cell>
          <cell r="K293">
            <v>5537.3354520000003</v>
          </cell>
          <cell r="L293">
            <v>0.5</v>
          </cell>
          <cell r="M293">
            <v>131.15</v>
          </cell>
          <cell r="N293">
            <v>2491.85</v>
          </cell>
          <cell r="O293">
            <v>0.54999114256298443</v>
          </cell>
          <cell r="P293">
            <v>0.55000000000000004</v>
          </cell>
          <cell r="Q293">
            <v>118.03</v>
          </cell>
        </row>
        <row r="294">
          <cell r="F294" t="str">
            <v>ESPECIALIZAÇÃO MULTIPROFISSIONAL EM ONCOLOGIA</v>
          </cell>
          <cell r="G294" t="str">
            <v>Saúde</v>
          </cell>
          <cell r="H294">
            <v>12</v>
          </cell>
          <cell r="I294">
            <v>19</v>
          </cell>
          <cell r="J294">
            <v>364.32987600000001</v>
          </cell>
          <cell r="K294">
            <v>6922.2676440000005</v>
          </cell>
          <cell r="L294">
            <v>0.4</v>
          </cell>
          <cell r="M294">
            <v>196.74</v>
          </cell>
          <cell r="N294">
            <v>3738.0600000000004</v>
          </cell>
          <cell r="O294">
            <v>0.45999487563298269</v>
          </cell>
          <cell r="P294">
            <v>0.45</v>
          </cell>
          <cell r="Q294">
            <v>180.34</v>
          </cell>
        </row>
        <row r="295">
          <cell r="F295" t="str">
            <v>ESPECIALIZAÇÃO EM GESTÃO DE EXPERIÊNCIA DO CLIENTE EM SERVIÇOS DE SAÚDE</v>
          </cell>
          <cell r="G295" t="str">
            <v>Saúde</v>
          </cell>
          <cell r="H295">
            <v>12</v>
          </cell>
          <cell r="I295">
            <v>19</v>
          </cell>
          <cell r="J295">
            <v>291.43870800000002</v>
          </cell>
          <cell r="K295">
            <v>5537.3354520000003</v>
          </cell>
          <cell r="L295">
            <v>0.4</v>
          </cell>
          <cell r="M295">
            <v>157.38</v>
          </cell>
          <cell r="N295">
            <v>2990.22</v>
          </cell>
          <cell r="O295">
            <v>0.45998937107558135</v>
          </cell>
          <cell r="P295">
            <v>0.45</v>
          </cell>
          <cell r="Q295">
            <v>144.26</v>
          </cell>
        </row>
        <row r="296">
          <cell r="F296" t="str">
            <v>ESPECIALIZAÇÃO EM UX/UI DESIGN</v>
          </cell>
          <cell r="G296" t="str">
            <v>Tecnologia/Engenharia</v>
          </cell>
          <cell r="H296">
            <v>12</v>
          </cell>
          <cell r="I296">
            <v>19</v>
          </cell>
          <cell r="J296">
            <v>320.59937400000007</v>
          </cell>
          <cell r="K296">
            <v>6091.3881060000012</v>
          </cell>
          <cell r="L296">
            <v>0.5</v>
          </cell>
          <cell r="M296">
            <v>144.27000000000001</v>
          </cell>
          <cell r="N296">
            <v>2741.13</v>
          </cell>
          <cell r="O296">
            <v>0.54999912133328133</v>
          </cell>
          <cell r="P296">
            <v>0.55000000000000004</v>
          </cell>
          <cell r="Q296">
            <v>129.84</v>
          </cell>
        </row>
        <row r="297">
          <cell r="F297" t="str">
            <v>ESPECIALIZAÇÃO EM SAFETY EM AVIAÇÃO</v>
          </cell>
          <cell r="G297" t="str">
            <v>Tecnologia/Engenharia</v>
          </cell>
          <cell r="H297">
            <v>12</v>
          </cell>
          <cell r="I297">
            <v>19</v>
          </cell>
          <cell r="J297">
            <v>291.43870800000002</v>
          </cell>
          <cell r="K297">
            <v>5537.3354520000003</v>
          </cell>
          <cell r="L297">
            <v>0.4</v>
          </cell>
          <cell r="M297">
            <v>157.38</v>
          </cell>
          <cell r="N297">
            <v>2990.22</v>
          </cell>
          <cell r="O297">
            <v>0.45998937107558135</v>
          </cell>
          <cell r="P297">
            <v>0.45</v>
          </cell>
          <cell r="Q297">
            <v>144.26</v>
          </cell>
        </row>
        <row r="298">
          <cell r="F298" t="str">
            <v>ESPECIALIZAÇÃO EM ENFERMAGEM EM SAÚDE DA MULHER</v>
          </cell>
          <cell r="G298" t="str">
            <v>Saúde</v>
          </cell>
          <cell r="H298">
            <v>18</v>
          </cell>
          <cell r="I298">
            <v>19</v>
          </cell>
          <cell r="J298">
            <v>320.59937400000007</v>
          </cell>
          <cell r="K298">
            <v>5275.16</v>
          </cell>
          <cell r="L298">
            <v>0.4</v>
          </cell>
          <cell r="M298">
            <v>173.12</v>
          </cell>
          <cell r="N298">
            <v>3289.28</v>
          </cell>
          <cell r="O298">
            <v>0.46001142223066238</v>
          </cell>
          <cell r="P298">
            <v>0.45</v>
          </cell>
          <cell r="Q298">
            <v>158.69999999999999</v>
          </cell>
        </row>
        <row r="299">
          <cell r="F299" t="str">
            <v>ESPECIALIZAÇÃO EM MEDICAL SCIENCE LIAISON</v>
          </cell>
          <cell r="G299" t="str">
            <v>Saúde</v>
          </cell>
          <cell r="H299">
            <v>18</v>
          </cell>
          <cell r="I299">
            <v>19</v>
          </cell>
          <cell r="J299">
            <v>419.73304200000007</v>
          </cell>
          <cell r="K299">
            <v>7974.9277980000015</v>
          </cell>
          <cell r="L299">
            <v>0.4</v>
          </cell>
          <cell r="M299">
            <v>226.66</v>
          </cell>
          <cell r="N299">
            <v>4306.54</v>
          </cell>
          <cell r="O299">
            <v>0.45999009532349389</v>
          </cell>
          <cell r="P299">
            <v>0.45</v>
          </cell>
          <cell r="Q299">
            <v>207.77</v>
          </cell>
        </row>
        <row r="300">
          <cell r="F300" t="str">
            <v>ESPECIALIZAÇÃO EM PRESCRIÇÃO FARMACÊUTICA</v>
          </cell>
          <cell r="G300" t="str">
            <v>Saúde</v>
          </cell>
          <cell r="H300">
            <v>18</v>
          </cell>
          <cell r="I300">
            <v>19</v>
          </cell>
          <cell r="J300">
            <v>419.73304200000007</v>
          </cell>
          <cell r="K300">
            <v>7974.9277980000015</v>
          </cell>
          <cell r="L300">
            <v>0.4</v>
          </cell>
          <cell r="M300">
            <v>226.66</v>
          </cell>
          <cell r="N300">
            <v>4306.54</v>
          </cell>
          <cell r="O300">
            <v>0.45999009532349389</v>
          </cell>
          <cell r="P300">
            <v>0.45</v>
          </cell>
          <cell r="Q300">
            <v>207.77</v>
          </cell>
        </row>
        <row r="301">
          <cell r="F301" t="str">
            <v>ESPECIALIZAÇÃO EM NUTRIÇÃO EM SAÚDE DA MULHER E FITOTERAPIA</v>
          </cell>
          <cell r="G301" t="str">
            <v>Saúde</v>
          </cell>
          <cell r="H301">
            <v>18</v>
          </cell>
          <cell r="I301">
            <v>19</v>
          </cell>
          <cell r="J301">
            <v>419.73304200000007</v>
          </cell>
          <cell r="K301">
            <v>7974.9277980000015</v>
          </cell>
          <cell r="L301">
            <v>0.4</v>
          </cell>
          <cell r="M301">
            <v>226.66</v>
          </cell>
          <cell r="N301">
            <v>4306.54</v>
          </cell>
          <cell r="O301">
            <v>0.45999009532349389</v>
          </cell>
          <cell r="P301">
            <v>0.45</v>
          </cell>
          <cell r="Q301">
            <v>207.77</v>
          </cell>
        </row>
        <row r="302">
          <cell r="F302" t="str">
            <v>ESPECIALIZAÇÃO EM ENGENHARIA LEGAL E DIAGNÓSTICA PARA ENGENHEIROS E ARQUITETOS</v>
          </cell>
          <cell r="G302" t="str">
            <v>Tecnologia/Engenharia</v>
          </cell>
          <cell r="H302">
            <v>18</v>
          </cell>
          <cell r="I302">
            <v>19</v>
          </cell>
          <cell r="J302">
            <v>320.59937400000007</v>
          </cell>
          <cell r="K302">
            <v>6091.3881060000012</v>
          </cell>
          <cell r="L302">
            <v>0.4</v>
          </cell>
          <cell r="M302">
            <v>173.12</v>
          </cell>
          <cell r="N302">
            <v>3289.28</v>
          </cell>
          <cell r="O302">
            <v>0.46001142223066238</v>
          </cell>
          <cell r="P302">
            <v>0.45</v>
          </cell>
          <cell r="Q302">
            <v>158.69999999999999</v>
          </cell>
        </row>
        <row r="303">
          <cell r="F303" t="str">
            <v>ESPECIALIZAÇÃO EM JOGOS DIGITAIS</v>
          </cell>
          <cell r="G303" t="str">
            <v>Tecnologia/Engenharia</v>
          </cell>
          <cell r="H303">
            <v>18</v>
          </cell>
          <cell r="I303">
            <v>19</v>
          </cell>
          <cell r="J303">
            <v>320.59937400000007</v>
          </cell>
          <cell r="K303">
            <v>6091.3881060000012</v>
          </cell>
          <cell r="L303">
            <v>0.4</v>
          </cell>
          <cell r="M303">
            <v>173.12</v>
          </cell>
          <cell r="N303">
            <v>3289.28</v>
          </cell>
          <cell r="O303">
            <v>0.46001142223066238</v>
          </cell>
          <cell r="P303">
            <v>0.45</v>
          </cell>
          <cell r="Q303">
            <v>158.69999999999999</v>
          </cell>
        </row>
        <row r="304">
          <cell r="F304" t="str">
            <v>ESPECIALIZAÇÃO EM BIM APLICADA À CONSTRUÇÃO CIVIL</v>
          </cell>
          <cell r="G304" t="str">
            <v>Tecnologia/Engenharia</v>
          </cell>
          <cell r="H304">
            <v>18</v>
          </cell>
          <cell r="I304">
            <v>19</v>
          </cell>
          <cell r="J304">
            <v>419.73304200000007</v>
          </cell>
          <cell r="K304">
            <v>7974.9277980000015</v>
          </cell>
          <cell r="L304">
            <v>0.4</v>
          </cell>
          <cell r="M304">
            <v>226.66</v>
          </cell>
          <cell r="N304">
            <v>4306.54</v>
          </cell>
          <cell r="O304">
            <v>0.45999009532349389</v>
          </cell>
          <cell r="P304">
            <v>0.45</v>
          </cell>
          <cell r="Q304">
            <v>207.77</v>
          </cell>
        </row>
        <row r="305">
          <cell r="F305" t="str">
            <v>MBA EM GESTÃO DE PROCESSOS – BUSINESS PROCESS MANAGEMENT</v>
          </cell>
          <cell r="G305" t="str">
            <v>Gestão</v>
          </cell>
          <cell r="H305">
            <v>18</v>
          </cell>
          <cell r="I305">
            <v>19</v>
          </cell>
          <cell r="J305">
            <v>320.59937400000007</v>
          </cell>
          <cell r="K305">
            <v>6091.3881060000012</v>
          </cell>
          <cell r="L305">
            <v>0.4</v>
          </cell>
          <cell r="M305">
            <v>173.12</v>
          </cell>
          <cell r="N305">
            <v>3289.28</v>
          </cell>
          <cell r="O305">
            <v>0.46001142223066238</v>
          </cell>
          <cell r="P305">
            <v>0.45</v>
          </cell>
          <cell r="Q305">
            <v>158.69999999999999</v>
          </cell>
        </row>
        <row r="306">
          <cell r="F306" t="str">
            <v>MBA EM ENGENHARIA DA PRODUÇÃO, QUALIDADE E COMPETITIVIDADE</v>
          </cell>
          <cell r="G306" t="str">
            <v>Gestão</v>
          </cell>
          <cell r="H306">
            <v>18</v>
          </cell>
          <cell r="I306">
            <v>19</v>
          </cell>
          <cell r="J306">
            <v>320.59937400000007</v>
          </cell>
          <cell r="K306">
            <v>6091.3881060000012</v>
          </cell>
          <cell r="L306">
            <v>0.4</v>
          </cell>
          <cell r="M306">
            <v>173.12</v>
          </cell>
          <cell r="N306">
            <v>3289.28</v>
          </cell>
          <cell r="O306">
            <v>0.46001142223066238</v>
          </cell>
          <cell r="P306">
            <v>0.45</v>
          </cell>
          <cell r="Q306">
            <v>158.69999999999999</v>
          </cell>
        </row>
        <row r="307">
          <cell r="F307" t="str">
            <v>ESPECIALIZAÇÃO EM FONOAUDIOLOGIA HOSPITALAR</v>
          </cell>
          <cell r="G307" t="str">
            <v>Saúde</v>
          </cell>
          <cell r="H307">
            <v>18</v>
          </cell>
          <cell r="I307">
            <v>19</v>
          </cell>
          <cell r="J307">
            <v>320.59937400000007</v>
          </cell>
          <cell r="K307">
            <v>6091.3881060000012</v>
          </cell>
          <cell r="L307">
            <v>0.4</v>
          </cell>
          <cell r="M307">
            <v>173.12</v>
          </cell>
          <cell r="N307">
            <v>3289.28</v>
          </cell>
          <cell r="O307">
            <v>0.46001142223066238</v>
          </cell>
          <cell r="P307">
            <v>0.45</v>
          </cell>
          <cell r="Q307">
            <v>158.69999999999999</v>
          </cell>
        </row>
        <row r="308">
          <cell r="F308" t="str">
            <v>ESPECIALIZAÇÃO EM DIREITO DE FAMÍLIA E SUCESSÕES</v>
          </cell>
          <cell r="G308" t="str">
            <v>Direito</v>
          </cell>
          <cell r="H308">
            <v>18</v>
          </cell>
          <cell r="I308">
            <v>19</v>
          </cell>
          <cell r="J308">
            <v>320.59937400000007</v>
          </cell>
          <cell r="K308">
            <v>6091.3881060000012</v>
          </cell>
          <cell r="L308">
            <v>0.4</v>
          </cell>
          <cell r="M308">
            <v>173.12</v>
          </cell>
          <cell r="N308">
            <v>3289.28</v>
          </cell>
          <cell r="O308">
            <v>0.46001142223066238</v>
          </cell>
          <cell r="P308">
            <v>0.45</v>
          </cell>
          <cell r="Q308">
            <v>158.69999999999999</v>
          </cell>
        </row>
        <row r="309">
          <cell r="F309" t="str">
            <v>MBA EM GESTÃO DE ALTA PERFORMANCE</v>
          </cell>
          <cell r="G309" t="str">
            <v>Gestão</v>
          </cell>
          <cell r="H309">
            <v>18</v>
          </cell>
          <cell r="I309">
            <v>19</v>
          </cell>
          <cell r="J309">
            <v>320.59937400000007</v>
          </cell>
          <cell r="K309">
            <v>6091.3881060000012</v>
          </cell>
          <cell r="L309">
            <v>0.5</v>
          </cell>
          <cell r="M309">
            <v>144.27000000000001</v>
          </cell>
          <cell r="N309">
            <v>2741.13</v>
          </cell>
          <cell r="O309">
            <v>0.54999912133328133</v>
          </cell>
          <cell r="P309">
            <v>0.55000000000000004</v>
          </cell>
          <cell r="Q309">
            <v>129.84</v>
          </cell>
        </row>
        <row r="310">
          <cell r="F310" t="str">
            <v>LLM EM DIREITO MÉDICO E DA SAÚDE</v>
          </cell>
          <cell r="G310" t="str">
            <v>Direito</v>
          </cell>
          <cell r="H310">
            <v>18</v>
          </cell>
          <cell r="I310">
            <v>19</v>
          </cell>
          <cell r="J310">
            <v>419.73304200000007</v>
          </cell>
          <cell r="K310">
            <v>7974.9277980000015</v>
          </cell>
          <cell r="L310">
            <v>0.4</v>
          </cell>
          <cell r="M310">
            <v>226.66</v>
          </cell>
          <cell r="N310">
            <v>4306.54</v>
          </cell>
          <cell r="O310">
            <v>0.45999009532349389</v>
          </cell>
          <cell r="P310">
            <v>0.45</v>
          </cell>
          <cell r="Q310">
            <v>207.77</v>
          </cell>
        </row>
        <row r="311">
          <cell r="F311" t="str">
            <v>ESPECIALIZAÇÃO EM BIOINFORMÁTICA APLICADA À SAÚDE</v>
          </cell>
          <cell r="G311" t="str">
            <v>Tecnologia/Engenharia</v>
          </cell>
          <cell r="H311">
            <v>12</v>
          </cell>
          <cell r="I311">
            <v>19</v>
          </cell>
          <cell r="J311">
            <v>440.87400000000002</v>
          </cell>
          <cell r="K311">
            <v>8376.6059999999998</v>
          </cell>
          <cell r="L311">
            <v>0.4</v>
          </cell>
          <cell r="M311">
            <v>238.07</v>
          </cell>
          <cell r="N311">
            <v>4523.33</v>
          </cell>
          <cell r="O311">
            <v>0.46000444571464871</v>
          </cell>
          <cell r="P311">
            <v>0.45</v>
          </cell>
          <cell r="Q311">
            <v>218.23</v>
          </cell>
        </row>
        <row r="312">
          <cell r="F312" t="str">
            <v>ESPECIALIZAÇÃO EM EDUCAÇÃO ANTIRRACISTA E ESTUDOS ÉTNICO-RACIAIS</v>
          </cell>
          <cell r="G312" t="str">
            <v>Educação</v>
          </cell>
          <cell r="H312">
            <v>12</v>
          </cell>
          <cell r="I312">
            <v>19</v>
          </cell>
          <cell r="J312">
            <v>367.39500000000004</v>
          </cell>
          <cell r="K312">
            <v>6980.505000000001</v>
          </cell>
          <cell r="L312">
            <v>0.4</v>
          </cell>
          <cell r="M312">
            <v>198.39</v>
          </cell>
          <cell r="N312">
            <v>3769.41</v>
          </cell>
          <cell r="O312">
            <v>0.46000898215816777</v>
          </cell>
          <cell r="P312">
            <v>0.45</v>
          </cell>
          <cell r="Q312">
            <v>181.86</v>
          </cell>
        </row>
        <row r="313">
          <cell r="F313" t="str">
            <v>ESPECIALIZAÇÃO EM EDUCAÇÃO E INOVAÇÕES TECNOLÓGICAS</v>
          </cell>
          <cell r="G313" t="str">
            <v>Educação</v>
          </cell>
          <cell r="H313">
            <v>12</v>
          </cell>
          <cell r="I313">
            <v>19</v>
          </cell>
          <cell r="J313">
            <v>367.39500000000004</v>
          </cell>
          <cell r="K313">
            <v>6980.505000000001</v>
          </cell>
          <cell r="L313">
            <v>0.4</v>
          </cell>
          <cell r="M313">
            <v>198.39</v>
          </cell>
          <cell r="N313">
            <v>3769.41</v>
          </cell>
          <cell r="O313">
            <v>0.46000898215816777</v>
          </cell>
          <cell r="P313">
            <v>0.45</v>
          </cell>
          <cell r="Q313">
            <v>181.86</v>
          </cell>
        </row>
        <row r="314">
          <cell r="F314" t="str">
            <v>ESPECIALIZAÇÃO EM EDUCAÇÃO ESPECIAL E INCLUSIVA</v>
          </cell>
          <cell r="G314" t="str">
            <v>Educação</v>
          </cell>
          <cell r="H314">
            <v>12</v>
          </cell>
          <cell r="I314">
            <v>19</v>
          </cell>
          <cell r="J314">
            <v>367.39500000000004</v>
          </cell>
          <cell r="K314">
            <v>6980.505000000001</v>
          </cell>
          <cell r="L314">
            <v>0.4</v>
          </cell>
          <cell r="M314">
            <v>198.39</v>
          </cell>
          <cell r="N314">
            <v>3769.41</v>
          </cell>
          <cell r="O314">
            <v>0.46000898215816777</v>
          </cell>
          <cell r="P314">
            <v>0.45</v>
          </cell>
          <cell r="Q314">
            <v>181.86</v>
          </cell>
        </row>
        <row r="315">
          <cell r="F315" t="str">
            <v>ESPECIALIZAÇÃO EM EDUCAÇÃO INFANTIL</v>
          </cell>
          <cell r="G315" t="str">
            <v>Educação</v>
          </cell>
          <cell r="H315">
            <v>12</v>
          </cell>
          <cell r="I315">
            <v>19</v>
          </cell>
          <cell r="J315">
            <v>320.431422</v>
          </cell>
          <cell r="K315">
            <v>6650</v>
          </cell>
          <cell r="L315">
            <v>0.4</v>
          </cell>
          <cell r="M315">
            <v>173.03</v>
          </cell>
          <cell r="N315">
            <v>3287.57</v>
          </cell>
          <cell r="O315">
            <v>0.46000926213784366</v>
          </cell>
          <cell r="P315">
            <v>0.45</v>
          </cell>
          <cell r="Q315">
            <v>158.61000000000001</v>
          </cell>
        </row>
        <row r="316">
          <cell r="F316" t="str">
            <v>ESPECIALIZAÇÃO EM PSICOPEDAGOGIA CLÍNICA E INSTITUCIONAL</v>
          </cell>
          <cell r="G316" t="str">
            <v>Educação</v>
          </cell>
          <cell r="H316">
            <v>12</v>
          </cell>
          <cell r="I316">
            <v>19</v>
          </cell>
          <cell r="J316">
            <v>367.39500000000004</v>
          </cell>
          <cell r="K316">
            <v>6650</v>
          </cell>
          <cell r="L316">
            <v>0.3</v>
          </cell>
          <cell r="M316">
            <v>231.46</v>
          </cell>
          <cell r="N316">
            <v>4397.74</v>
          </cell>
          <cell r="O316">
            <v>0.36999686985397195</v>
          </cell>
          <cell r="P316">
            <v>0.35</v>
          </cell>
          <cell r="Q316">
            <v>214.93</v>
          </cell>
        </row>
        <row r="317">
          <cell r="F317" t="str">
            <v>ESPECIALIZAÇÃO EM TERAPIAS COGNITIVO-COMPORTAMENTAIS</v>
          </cell>
          <cell r="G317" t="str">
            <v>Saúde</v>
          </cell>
          <cell r="H317">
            <v>12</v>
          </cell>
          <cell r="I317">
            <v>19</v>
          </cell>
          <cell r="J317">
            <v>356.89800000000002</v>
          </cell>
          <cell r="K317">
            <v>5799.94</v>
          </cell>
          <cell r="L317">
            <v>0.4</v>
          </cell>
          <cell r="M317">
            <v>192.72</v>
          </cell>
          <cell r="N317">
            <v>3661.68</v>
          </cell>
          <cell r="O317">
            <v>0.46001378545130545</v>
          </cell>
          <cell r="P317">
            <v>0.45</v>
          </cell>
          <cell r="Q317">
            <v>176.66</v>
          </cell>
        </row>
        <row r="318">
          <cell r="F318" t="str">
            <v>ESPECIALIZAÇÃO EM PSICOLOGIA HOSPITALAR</v>
          </cell>
          <cell r="G318" t="str">
            <v>Saúde</v>
          </cell>
          <cell r="H318">
            <v>12</v>
          </cell>
          <cell r="I318">
            <v>19</v>
          </cell>
          <cell r="J318">
            <v>356.89800000000002</v>
          </cell>
          <cell r="K318">
            <v>6650</v>
          </cell>
          <cell r="L318">
            <v>0.4</v>
          </cell>
          <cell r="M318">
            <v>192.72</v>
          </cell>
          <cell r="N318">
            <v>3661.68</v>
          </cell>
          <cell r="O318">
            <v>0.46001378545130545</v>
          </cell>
          <cell r="P318">
            <v>0.45</v>
          </cell>
          <cell r="Q318">
            <v>176.66</v>
          </cell>
        </row>
        <row r="319">
          <cell r="F319" t="str">
            <v>ESPECIALIZAÇÃO EM DEPENDÊNCIAS E COMPORTAMENTOS ADICTIVOS</v>
          </cell>
          <cell r="G319" t="str">
            <v>Saúde</v>
          </cell>
          <cell r="H319">
            <v>12</v>
          </cell>
          <cell r="I319">
            <v>19</v>
          </cell>
          <cell r="J319">
            <v>356.89800000000002</v>
          </cell>
          <cell r="K319">
            <v>6781.0620000000008</v>
          </cell>
          <cell r="L319">
            <v>0.4</v>
          </cell>
          <cell r="M319">
            <v>192.72</v>
          </cell>
          <cell r="N319">
            <v>3661.68</v>
          </cell>
          <cell r="O319">
            <v>0.46001378545130545</v>
          </cell>
          <cell r="P319">
            <v>0.45</v>
          </cell>
          <cell r="Q319">
            <v>176.66</v>
          </cell>
        </row>
        <row r="320">
          <cell r="F320" t="str">
            <v>ESPECIALIZAÇÃO EM PSICOLOGIA DA INFÂNCIA E ADOLESCÊNCIA</v>
          </cell>
          <cell r="G320" t="str">
            <v>Saúde</v>
          </cell>
          <cell r="H320">
            <v>12</v>
          </cell>
          <cell r="I320">
            <v>19</v>
          </cell>
          <cell r="J320">
            <v>409.38300000000004</v>
          </cell>
          <cell r="K320">
            <v>7778.277000000001</v>
          </cell>
          <cell r="L320">
            <v>0.4</v>
          </cell>
          <cell r="M320">
            <v>221.07</v>
          </cell>
          <cell r="N320">
            <v>4200.33</v>
          </cell>
          <cell r="O320">
            <v>0.45999223221286678</v>
          </cell>
          <cell r="P320">
            <v>0.45</v>
          </cell>
          <cell r="Q320">
            <v>202.64</v>
          </cell>
        </row>
        <row r="321">
          <cell r="F321" t="str">
            <v>ESPECIALIZAÇÃO EM PSICOMOTRICIDADE INSTITUCIONAL E CLÍNICA</v>
          </cell>
          <cell r="G321" t="str">
            <v>Educação</v>
          </cell>
          <cell r="H321">
            <v>12</v>
          </cell>
          <cell r="I321">
            <v>19</v>
          </cell>
          <cell r="J321">
            <v>367.39500000000004</v>
          </cell>
          <cell r="K321">
            <v>6980.505000000001</v>
          </cell>
          <cell r="L321">
            <v>0.4</v>
          </cell>
          <cell r="M321">
            <v>198.39</v>
          </cell>
          <cell r="N321">
            <v>3769.41</v>
          </cell>
          <cell r="O321">
            <v>0.46000898215816777</v>
          </cell>
          <cell r="P321">
            <v>0.45</v>
          </cell>
          <cell r="Q321">
            <v>181.86</v>
          </cell>
        </row>
        <row r="322">
          <cell r="F322" t="str">
            <v>ESPECIALIZAÇÃO EM AVALIAÇÃO E DIAGNÓSTICO PSICOLÓGICO</v>
          </cell>
          <cell r="G322" t="str">
            <v>Saúde</v>
          </cell>
          <cell r="H322">
            <v>12</v>
          </cell>
          <cell r="I322">
            <v>19</v>
          </cell>
          <cell r="J322">
            <v>409.38300000000004</v>
          </cell>
          <cell r="K322">
            <v>7778.277000000001</v>
          </cell>
          <cell r="L322">
            <v>0.4</v>
          </cell>
          <cell r="M322">
            <v>221.07</v>
          </cell>
          <cell r="N322">
            <v>4200.33</v>
          </cell>
          <cell r="O322">
            <v>0.45999223221286678</v>
          </cell>
          <cell r="P322">
            <v>0.45</v>
          </cell>
          <cell r="Q322">
            <v>202.64</v>
          </cell>
        </row>
        <row r="323">
          <cell r="F323" t="str">
            <v>ESPECIALIZAÇÃO EM INTELIGÊNCIA ARTIFICIAL (I.A) E MACHINE LEARNING</v>
          </cell>
          <cell r="G323" t="str">
            <v>Tecnologia/Engenharia</v>
          </cell>
          <cell r="H323">
            <v>12</v>
          </cell>
          <cell r="I323">
            <v>19</v>
          </cell>
          <cell r="J323">
            <v>291.43870800000002</v>
          </cell>
          <cell r="K323">
            <v>5537.3354520000003</v>
          </cell>
          <cell r="L323">
            <v>0.4</v>
          </cell>
          <cell r="M323">
            <v>157.38</v>
          </cell>
          <cell r="N323">
            <v>2990.22</v>
          </cell>
          <cell r="O323">
            <v>0.45998937107558135</v>
          </cell>
          <cell r="P323">
            <v>0.45</v>
          </cell>
          <cell r="Q323">
            <v>144.26</v>
          </cell>
        </row>
        <row r="324">
          <cell r="F324" t="str">
            <v>ESPECIALIZAÇÃO EM INTELIGÊNCIA DE DADOS PARA NEGÓCIOS</v>
          </cell>
          <cell r="G324" t="str">
            <v>Tecnologia/Engenharia</v>
          </cell>
          <cell r="H324">
            <v>12</v>
          </cell>
          <cell r="I324">
            <v>19</v>
          </cell>
          <cell r="J324">
            <v>291.43870800000002</v>
          </cell>
          <cell r="K324">
            <v>5537.3354520000003</v>
          </cell>
          <cell r="L324">
            <v>0.4</v>
          </cell>
          <cell r="M324">
            <v>157.38</v>
          </cell>
          <cell r="N324">
            <v>2990.22</v>
          </cell>
          <cell r="O324">
            <v>0.45998937107558135</v>
          </cell>
          <cell r="P324">
            <v>0.45</v>
          </cell>
          <cell r="Q324">
            <v>144.26</v>
          </cell>
        </row>
        <row r="325">
          <cell r="F325" t="str">
            <v>ESPECIALIZAÇÃO EM EDUCAÇÃO EM RELAÇÕES DE GÊNERO, INTERSECCIONALIDADE E DIVERSIDADE</v>
          </cell>
          <cell r="G325" t="str">
            <v>Educação</v>
          </cell>
          <cell r="H325">
            <v>12</v>
          </cell>
          <cell r="I325">
            <v>19</v>
          </cell>
          <cell r="J325">
            <v>367.39500000000004</v>
          </cell>
          <cell r="K325">
            <v>6980.505000000001</v>
          </cell>
          <cell r="L325">
            <v>0.4</v>
          </cell>
          <cell r="M325">
            <v>198.39</v>
          </cell>
          <cell r="N325">
            <v>3769.41</v>
          </cell>
          <cell r="O325">
            <v>0.46000898215816777</v>
          </cell>
          <cell r="P325">
            <v>0.45</v>
          </cell>
          <cell r="Q325">
            <v>181.86</v>
          </cell>
        </row>
        <row r="326">
          <cell r="F326" t="str">
            <v>ESPECIALIZAÇÃO EM ABA - APPLIED BEHAVIOR ANALYSIS - ANÁLISE DO COMPORTAMENTO APLICADO</v>
          </cell>
          <cell r="G326" t="str">
            <v>Educação</v>
          </cell>
          <cell r="H326">
            <v>12</v>
          </cell>
          <cell r="I326">
            <v>19</v>
          </cell>
          <cell r="J326">
            <v>367.39500000000004</v>
          </cell>
          <cell r="K326">
            <v>6980.505000000001</v>
          </cell>
          <cell r="L326">
            <v>0.4</v>
          </cell>
          <cell r="M326">
            <v>198.39</v>
          </cell>
          <cell r="N326">
            <v>3769.41</v>
          </cell>
          <cell r="O326">
            <v>0.46000898215816777</v>
          </cell>
          <cell r="P326">
            <v>0.45</v>
          </cell>
          <cell r="Q326">
            <v>181.86</v>
          </cell>
        </row>
        <row r="327">
          <cell r="F327" t="str">
            <v>ESPECIALIZAÇÃO EM EDUCAÇÃO FÍSICA ESCOLAR</v>
          </cell>
          <cell r="G327" t="str">
            <v>Educação</v>
          </cell>
          <cell r="H327">
            <v>12</v>
          </cell>
          <cell r="I327">
            <v>19</v>
          </cell>
          <cell r="J327">
            <v>320.431422</v>
          </cell>
          <cell r="K327">
            <v>6088.1970179999998</v>
          </cell>
          <cell r="L327">
            <v>0.4</v>
          </cell>
          <cell r="M327">
            <v>173.03</v>
          </cell>
          <cell r="N327">
            <v>3287.57</v>
          </cell>
          <cell r="O327">
            <v>0.46000926213784366</v>
          </cell>
          <cell r="P327">
            <v>0.45</v>
          </cell>
          <cell r="Q327">
            <v>158.61000000000001</v>
          </cell>
        </row>
        <row r="328">
          <cell r="F328" t="str">
            <v>ESPECIALIZAÇÃO EM ENSINO DE CIÊNCIAS NATURAIS E SUAS TECNOLOGIAS</v>
          </cell>
          <cell r="G328" t="str">
            <v>Educação</v>
          </cell>
          <cell r="H328">
            <v>12</v>
          </cell>
          <cell r="I328">
            <v>19</v>
          </cell>
          <cell r="J328">
            <v>367.39500000000004</v>
          </cell>
          <cell r="K328">
            <v>6980.505000000001</v>
          </cell>
          <cell r="L328">
            <v>0.4</v>
          </cell>
          <cell r="M328">
            <v>198.39</v>
          </cell>
          <cell r="N328">
            <v>3769.41</v>
          </cell>
          <cell r="O328">
            <v>0.46000898215816777</v>
          </cell>
          <cell r="P328">
            <v>0.45</v>
          </cell>
          <cell r="Q328">
            <v>181.86</v>
          </cell>
        </row>
        <row r="329">
          <cell r="F329" t="str">
            <v>ESPECIALIZAÇÃO EM COMUNICAÇÃO CORPORATIVA E GESTÃO DE CRISES</v>
          </cell>
          <cell r="G329" t="str">
            <v>Gestão</v>
          </cell>
          <cell r="H329">
            <v>12</v>
          </cell>
          <cell r="I329">
            <v>19</v>
          </cell>
          <cell r="J329">
            <v>320.60000000000002</v>
          </cell>
          <cell r="K329">
            <v>6091.4000000000005</v>
          </cell>
          <cell r="L329">
            <v>0.4</v>
          </cell>
          <cell r="M329">
            <v>173.12</v>
          </cell>
          <cell r="N329">
            <v>3289.28</v>
          </cell>
          <cell r="O329">
            <v>0.46001247660636313</v>
          </cell>
          <cell r="P329">
            <v>0.45</v>
          </cell>
          <cell r="Q329">
            <v>158.69999999999999</v>
          </cell>
        </row>
        <row r="330">
          <cell r="F330" t="str">
            <v>MBA EM INTELIGÊNCIA ARTIFICIAL PARA GESTORES</v>
          </cell>
          <cell r="G330" t="str">
            <v>Gestão</v>
          </cell>
          <cell r="H330">
            <v>12</v>
          </cell>
          <cell r="I330">
            <v>19</v>
          </cell>
          <cell r="J330">
            <v>320.60000000000002</v>
          </cell>
          <cell r="K330">
            <v>6091.4000000000005</v>
          </cell>
          <cell r="L330">
            <v>0.4</v>
          </cell>
          <cell r="M330">
            <v>173.12</v>
          </cell>
          <cell r="N330">
            <v>3289.28</v>
          </cell>
          <cell r="O330">
            <v>0.46001247660636313</v>
          </cell>
          <cell r="P330">
            <v>0.45</v>
          </cell>
          <cell r="Q330">
            <v>158.69999999999999</v>
          </cell>
        </row>
        <row r="331">
          <cell r="F331" t="e">
            <v>#N/A</v>
          </cell>
          <cell r="G331" t="str">
            <v>Tecnologia/Engenharia</v>
          </cell>
          <cell r="H331">
            <v>15</v>
          </cell>
          <cell r="I331">
            <v>19</v>
          </cell>
          <cell r="J331">
            <v>320.59937400000007</v>
          </cell>
          <cell r="K331">
            <v>6091.3881060000012</v>
          </cell>
          <cell r="L331">
            <v>0</v>
          </cell>
          <cell r="M331">
            <v>288.54000000000002</v>
          </cell>
          <cell r="N331">
            <v>5482.26</v>
          </cell>
          <cell r="O331">
            <v>9.9998242666562542E-2</v>
          </cell>
          <cell r="P331">
            <v>0.05</v>
          </cell>
          <cell r="Q331">
            <v>274.11</v>
          </cell>
        </row>
        <row r="333">
          <cell r="F333" t="str">
            <v>ESPECIALIZAÇÃO EM DIREITO CIVIL E PROCESSO CIVIL</v>
          </cell>
          <cell r="G333" t="str">
            <v>Direito</v>
          </cell>
          <cell r="H333">
            <v>12</v>
          </cell>
          <cell r="I333">
            <v>19</v>
          </cell>
          <cell r="J333">
            <v>262.27804200000003</v>
          </cell>
          <cell r="K333">
            <v>4983.2827980000002</v>
          </cell>
          <cell r="L333">
            <v>0.4</v>
          </cell>
          <cell r="M333">
            <v>141.63</v>
          </cell>
          <cell r="N333">
            <v>2690.97</v>
          </cell>
          <cell r="O333">
            <v>0.46000054400284118</v>
          </cell>
          <cell r="P333">
            <v>0.45</v>
          </cell>
          <cell r="Q333">
            <v>129.83000000000001</v>
          </cell>
        </row>
        <row r="334">
          <cell r="F334" t="str">
            <v>ESPECIALIZAÇÃO EM DIREITO MATERIAL E PROCESSUAL DO TRABALHO</v>
          </cell>
          <cell r="G334" t="str">
            <v>Direito</v>
          </cell>
          <cell r="H334">
            <v>12</v>
          </cell>
          <cell r="I334">
            <v>19</v>
          </cell>
          <cell r="J334">
            <v>262.27804200000003</v>
          </cell>
          <cell r="K334">
            <v>4983.2827980000002</v>
          </cell>
          <cell r="L334">
            <v>0.5</v>
          </cell>
          <cell r="M334">
            <v>118.03</v>
          </cell>
          <cell r="N334">
            <v>2242.5700000000002</v>
          </cell>
          <cell r="O334">
            <v>0.54998138959722753</v>
          </cell>
          <cell r="P334">
            <v>0.55000000000000004</v>
          </cell>
          <cell r="Q334">
            <v>106.22</v>
          </cell>
        </row>
        <row r="335">
          <cell r="F335" t="str">
            <v>ESPECIALIZAÇÃO EM DOCÊNCIA DO ENSINO SUPERIOR</v>
          </cell>
          <cell r="G335" t="str">
            <v>Educação</v>
          </cell>
          <cell r="H335">
            <v>12</v>
          </cell>
          <cell r="I335">
            <v>19</v>
          </cell>
          <cell r="J335">
            <v>262.27804200000003</v>
          </cell>
          <cell r="K335">
            <v>4983.2827980000002</v>
          </cell>
          <cell r="L335">
            <v>0.5</v>
          </cell>
          <cell r="M335">
            <v>118.03</v>
          </cell>
          <cell r="N335">
            <v>2242.5700000000002</v>
          </cell>
          <cell r="O335">
            <v>0.54998138959722753</v>
          </cell>
          <cell r="P335">
            <v>0.55000000000000004</v>
          </cell>
          <cell r="Q335">
            <v>106.22</v>
          </cell>
        </row>
        <row r="336">
          <cell r="F336" t="str">
            <v>ESPECIALIZAÇÃO EM GESTÃO DA EDUCAÇÃO</v>
          </cell>
          <cell r="G336" t="str">
            <v>Educação</v>
          </cell>
          <cell r="H336">
            <v>12</v>
          </cell>
          <cell r="I336">
            <v>19</v>
          </cell>
          <cell r="J336">
            <v>262.27804200000003</v>
          </cell>
          <cell r="K336">
            <v>4983.2827980000002</v>
          </cell>
          <cell r="L336">
            <v>0.5</v>
          </cell>
          <cell r="M336">
            <v>118.03</v>
          </cell>
          <cell r="N336">
            <v>2242.5700000000002</v>
          </cell>
          <cell r="O336">
            <v>0.54998138959722753</v>
          </cell>
          <cell r="P336">
            <v>0.55000000000000004</v>
          </cell>
          <cell r="Q336">
            <v>106.22</v>
          </cell>
        </row>
        <row r="337">
          <cell r="F337" t="str">
            <v>ESPECIALIZAÇÃO EM NUTRIÇÃO ESPORTIVA</v>
          </cell>
          <cell r="G337" t="str">
            <v>Saúde</v>
          </cell>
          <cell r="H337">
            <v>12</v>
          </cell>
          <cell r="I337">
            <v>19</v>
          </cell>
          <cell r="J337">
            <v>291.43870800000002</v>
          </cell>
          <cell r="K337">
            <v>5537.3354520000003</v>
          </cell>
          <cell r="L337">
            <v>0.4</v>
          </cell>
          <cell r="M337">
            <v>157.38</v>
          </cell>
          <cell r="N337">
            <v>2990.22</v>
          </cell>
          <cell r="O337">
            <v>0.45998937107558135</v>
          </cell>
          <cell r="P337">
            <v>0.45</v>
          </cell>
          <cell r="Q337">
            <v>144.26</v>
          </cell>
        </row>
        <row r="338">
          <cell r="F338" t="str">
            <v>ESPECIALIZAÇÃO EM PSICOPEDAGOGIA ESCOLAR</v>
          </cell>
          <cell r="G338" t="str">
            <v>Educação</v>
          </cell>
          <cell r="H338">
            <v>12</v>
          </cell>
          <cell r="I338">
            <v>19</v>
          </cell>
          <cell r="J338">
            <v>262.27804200000003</v>
          </cell>
          <cell r="K338">
            <v>4983.2827980000002</v>
          </cell>
          <cell r="L338">
            <v>0.3</v>
          </cell>
          <cell r="M338">
            <v>165.24</v>
          </cell>
          <cell r="N338">
            <v>3139.5600000000004</v>
          </cell>
          <cell r="O338">
            <v>0.36998157093150785</v>
          </cell>
          <cell r="P338">
            <v>0.35</v>
          </cell>
          <cell r="Q338">
            <v>153.43</v>
          </cell>
        </row>
        <row r="339">
          <cell r="F339" t="str">
            <v>MBA EM GESTÃO DE PESSOAS</v>
          </cell>
          <cell r="G339" t="str">
            <v>Gestão</v>
          </cell>
          <cell r="H339">
            <v>15</v>
          </cell>
          <cell r="I339">
            <v>19</v>
          </cell>
          <cell r="J339">
            <v>320.59937400000007</v>
          </cell>
          <cell r="K339">
            <v>6091.3881060000012</v>
          </cell>
          <cell r="L339">
            <v>0.5</v>
          </cell>
          <cell r="M339">
            <v>144.27000000000001</v>
          </cell>
          <cell r="N339">
            <v>2741.13</v>
          </cell>
          <cell r="O339">
            <v>0.54999912133328133</v>
          </cell>
          <cell r="P339">
            <v>0.55000000000000004</v>
          </cell>
          <cell r="Q339">
            <v>129.84</v>
          </cell>
        </row>
        <row r="340">
          <cell r="F340" t="str">
            <v>MBA EM GESTÃO EMPRESARIAL</v>
          </cell>
          <cell r="G340" t="str">
            <v>Gestão</v>
          </cell>
          <cell r="H340">
            <v>15</v>
          </cell>
          <cell r="I340">
            <v>19</v>
          </cell>
          <cell r="J340">
            <v>320.59937400000007</v>
          </cell>
          <cell r="K340">
            <v>6091.3881060000012</v>
          </cell>
          <cell r="L340">
            <v>0.3</v>
          </cell>
          <cell r="M340">
            <v>201.98</v>
          </cell>
          <cell r="N340">
            <v>3837.62</v>
          </cell>
          <cell r="O340">
            <v>0.36999253155123146</v>
          </cell>
          <cell r="P340">
            <v>0.35</v>
          </cell>
          <cell r="Q340">
            <v>187.55</v>
          </cell>
        </row>
        <row r="341">
          <cell r="F341" t="str">
            <v>ESPECIALIZAÇÃO EM FARMÁCIA CLÍNICA E ATENÇÃO FARMACÊUTICA</v>
          </cell>
          <cell r="G341" t="str">
            <v>Saúde</v>
          </cell>
          <cell r="H341">
            <v>12</v>
          </cell>
          <cell r="I341">
            <v>19</v>
          </cell>
          <cell r="J341">
            <v>291.43870800000002</v>
          </cell>
          <cell r="K341">
            <v>5537.3354520000003</v>
          </cell>
          <cell r="L341">
            <v>0.5</v>
          </cell>
          <cell r="M341">
            <v>131.15</v>
          </cell>
          <cell r="N341">
            <v>2491.85</v>
          </cell>
          <cell r="O341">
            <v>0.54999114256298443</v>
          </cell>
          <cell r="P341">
            <v>0.55000000000000004</v>
          </cell>
          <cell r="Q341">
            <v>118.03</v>
          </cell>
        </row>
        <row r="342">
          <cell r="F342" t="str">
            <v>ESPECIALIZAÇÃO EM NEUROEDUCAÇÃO</v>
          </cell>
          <cell r="G342" t="str">
            <v>Educação</v>
          </cell>
          <cell r="H342">
            <v>12</v>
          </cell>
          <cell r="I342">
            <v>19</v>
          </cell>
          <cell r="J342">
            <v>262.27804200000003</v>
          </cell>
          <cell r="K342">
            <v>4983.2827980000002</v>
          </cell>
          <cell r="L342">
            <v>0.3</v>
          </cell>
          <cell r="M342">
            <v>165.24</v>
          </cell>
          <cell r="N342">
            <v>3139.5600000000004</v>
          </cell>
          <cell r="O342">
            <v>0.36998157093150785</v>
          </cell>
          <cell r="P342">
            <v>0.35</v>
          </cell>
          <cell r="Q342">
            <v>153.43</v>
          </cell>
        </row>
        <row r="343">
          <cell r="F343" t="str">
            <v>MBA EM LOGÍSTICA EMPRESARIAL</v>
          </cell>
          <cell r="G343" t="str">
            <v>Gestão</v>
          </cell>
          <cell r="H343">
            <v>18</v>
          </cell>
          <cell r="I343">
            <v>19</v>
          </cell>
          <cell r="J343">
            <v>320.59937400000007</v>
          </cell>
          <cell r="K343">
            <v>6091.3881060000012</v>
          </cell>
          <cell r="L343">
            <v>0.3</v>
          </cell>
          <cell r="M343">
            <v>201.98</v>
          </cell>
          <cell r="N343">
            <v>3837.62</v>
          </cell>
          <cell r="O343">
            <v>0.36999253155123146</v>
          </cell>
          <cell r="P343">
            <v>0.35</v>
          </cell>
          <cell r="Q343">
            <v>187.55</v>
          </cell>
        </row>
        <row r="344">
          <cell r="F344" t="str">
            <v>MBA EM GERENCIAMENTO DE PROJETOS</v>
          </cell>
          <cell r="G344" t="str">
            <v>Gestão</v>
          </cell>
          <cell r="H344">
            <v>15</v>
          </cell>
          <cell r="I344">
            <v>19</v>
          </cell>
          <cell r="J344">
            <v>320.59937400000007</v>
          </cell>
          <cell r="K344">
            <v>6091.3881060000012</v>
          </cell>
          <cell r="L344">
            <v>0.3</v>
          </cell>
          <cell r="M344">
            <v>201.98</v>
          </cell>
          <cell r="N344">
            <v>3837.62</v>
          </cell>
          <cell r="O344">
            <v>0.36999253155123146</v>
          </cell>
          <cell r="P344">
            <v>0.35</v>
          </cell>
          <cell r="Q344">
            <v>187.55</v>
          </cell>
        </row>
        <row r="345">
          <cell r="F345" t="str">
            <v>MBA EM AUDITORIA E CONTROLADORIA</v>
          </cell>
          <cell r="G345" t="str">
            <v>Gestão</v>
          </cell>
          <cell r="H345">
            <v>15</v>
          </cell>
          <cell r="I345">
            <v>19</v>
          </cell>
          <cell r="J345">
            <v>320.59937400000007</v>
          </cell>
          <cell r="K345">
            <v>6091.3881060000012</v>
          </cell>
          <cell r="L345">
            <v>0.5</v>
          </cell>
          <cell r="M345">
            <v>144.27000000000001</v>
          </cell>
          <cell r="N345">
            <v>2741.13</v>
          </cell>
          <cell r="O345">
            <v>0.54999912133328133</v>
          </cell>
          <cell r="P345">
            <v>0.55000000000000004</v>
          </cell>
          <cell r="Q345">
            <v>129.84</v>
          </cell>
        </row>
        <row r="346">
          <cell r="F346" t="str">
            <v>ESPECIALIZAÇÃO EM ENFERMAGEM EM UNIDADE DE TERAPIA INTENSIVA</v>
          </cell>
          <cell r="G346" t="str">
            <v>Saúde</v>
          </cell>
          <cell r="H346">
            <v>12</v>
          </cell>
          <cell r="I346">
            <v>19</v>
          </cell>
          <cell r="J346">
            <v>291.43870800000002</v>
          </cell>
          <cell r="K346">
            <v>5537.3354520000003</v>
          </cell>
          <cell r="L346">
            <v>0.5</v>
          </cell>
          <cell r="M346">
            <v>131.15</v>
          </cell>
          <cell r="N346">
            <v>2491.85</v>
          </cell>
          <cell r="O346">
            <v>0.54999114256298443</v>
          </cell>
          <cell r="P346">
            <v>0.55000000000000004</v>
          </cell>
          <cell r="Q346">
            <v>118.03</v>
          </cell>
        </row>
        <row r="347">
          <cell r="F347" t="str">
            <v>ESPECIALIZAÇÃO EM FISIOTERAPIA TRAUMATO-ORTOPÉDICA E DESPORTIVA</v>
          </cell>
          <cell r="G347" t="str">
            <v>Saúde</v>
          </cell>
          <cell r="H347">
            <v>12</v>
          </cell>
          <cell r="I347">
            <v>19</v>
          </cell>
          <cell r="J347">
            <v>291.43870800000002</v>
          </cell>
          <cell r="K347">
            <v>5537.3354520000003</v>
          </cell>
          <cell r="L347">
            <v>0.5</v>
          </cell>
          <cell r="M347">
            <v>131.15</v>
          </cell>
          <cell r="N347">
            <v>2491.85</v>
          </cell>
          <cell r="O347">
            <v>0.54999114256298443</v>
          </cell>
          <cell r="P347">
            <v>0.55000000000000004</v>
          </cell>
          <cell r="Q347">
            <v>118.03</v>
          </cell>
        </row>
        <row r="348">
          <cell r="F348" t="str">
            <v>ESPECIALIZAÇÃO EM NUTRIÇÃO CLÍNICA</v>
          </cell>
          <cell r="G348" t="str">
            <v>Saúde</v>
          </cell>
          <cell r="H348">
            <v>12</v>
          </cell>
          <cell r="I348">
            <v>19</v>
          </cell>
          <cell r="J348">
            <v>291.43870800000002</v>
          </cell>
          <cell r="K348">
            <v>5537.3354520000003</v>
          </cell>
          <cell r="L348">
            <v>0.5</v>
          </cell>
          <cell r="M348">
            <v>131.15</v>
          </cell>
          <cell r="N348">
            <v>2491.85</v>
          </cell>
          <cell r="O348">
            <v>0.54999114256298443</v>
          </cell>
          <cell r="P348">
            <v>0.55000000000000004</v>
          </cell>
          <cell r="Q348">
            <v>118.03</v>
          </cell>
        </row>
        <row r="349">
          <cell r="F349" t="str">
            <v>ESPECIALIZAÇÃO EM PSICOLOGIA ORGANIZACIONAL E DO TRABALHO</v>
          </cell>
          <cell r="G349" t="str">
            <v>Saúde</v>
          </cell>
          <cell r="H349">
            <v>12</v>
          </cell>
          <cell r="I349">
            <v>19</v>
          </cell>
          <cell r="J349">
            <v>291.43870800000002</v>
          </cell>
          <cell r="K349">
            <v>5537.3354520000003</v>
          </cell>
          <cell r="L349">
            <v>0.5</v>
          </cell>
          <cell r="M349">
            <v>131.15</v>
          </cell>
          <cell r="N349">
            <v>2491.85</v>
          </cell>
          <cell r="O349">
            <v>0.54999114256298443</v>
          </cell>
          <cell r="P349">
            <v>0.55000000000000004</v>
          </cell>
          <cell r="Q349">
            <v>118.03</v>
          </cell>
        </row>
        <row r="350">
          <cell r="F350" t="str">
            <v>ESPECIALIZAÇÃO EM SAÚDE MENTAL E TERAPIAS COGNITIVAS</v>
          </cell>
          <cell r="G350" t="str">
            <v>Saúde</v>
          </cell>
          <cell r="H350">
            <v>12</v>
          </cell>
          <cell r="I350">
            <v>19</v>
          </cell>
          <cell r="J350">
            <v>291.43870800000002</v>
          </cell>
          <cell r="K350">
            <v>5537.3354520000003</v>
          </cell>
          <cell r="L350">
            <v>0.5</v>
          </cell>
          <cell r="M350">
            <v>131.15</v>
          </cell>
          <cell r="N350">
            <v>2491.85</v>
          </cell>
          <cell r="O350">
            <v>0.54999114256298443</v>
          </cell>
          <cell r="P350">
            <v>0.55000000000000004</v>
          </cell>
          <cell r="Q350">
            <v>118.03</v>
          </cell>
        </row>
        <row r="351">
          <cell r="F351" t="str">
            <v>ESPECIALIZAÇÃO EM SAÚDE PÚBLICA COM ÊNFASE EM ATENÇÃO BÁSICA</v>
          </cell>
          <cell r="G351" t="str">
            <v>Saúde</v>
          </cell>
          <cell r="H351">
            <v>12</v>
          </cell>
          <cell r="I351">
            <v>19</v>
          </cell>
          <cell r="J351">
            <v>291.43870800000002</v>
          </cell>
          <cell r="K351">
            <v>5537.3354520000003</v>
          </cell>
          <cell r="L351">
            <v>0.5</v>
          </cell>
          <cell r="M351">
            <v>131.15</v>
          </cell>
          <cell r="N351">
            <v>2491.85</v>
          </cell>
          <cell r="O351">
            <v>0.54999114256298443</v>
          </cell>
          <cell r="P351">
            <v>0.55000000000000004</v>
          </cell>
          <cell r="Q351">
            <v>118.03</v>
          </cell>
        </row>
        <row r="352">
          <cell r="F352" t="str">
            <v>MBA EM GESTÃO HOSPITALAR E SISTEMAS DE SAÚDE</v>
          </cell>
          <cell r="G352" t="str">
            <v>Gestão</v>
          </cell>
          <cell r="H352">
            <v>15</v>
          </cell>
          <cell r="I352">
            <v>19</v>
          </cell>
          <cell r="J352">
            <v>320.59937400000007</v>
          </cell>
          <cell r="K352">
            <v>6091.3881060000012</v>
          </cell>
          <cell r="L352">
            <v>0.5</v>
          </cell>
          <cell r="M352">
            <v>144.27000000000001</v>
          </cell>
          <cell r="N352">
            <v>2741.13</v>
          </cell>
          <cell r="O352">
            <v>0.54999912133328133</v>
          </cell>
          <cell r="P352">
            <v>0.55000000000000004</v>
          </cell>
          <cell r="Q352">
            <v>129.84</v>
          </cell>
        </row>
        <row r="353">
          <cell r="F353" t="str">
            <v>MBA EM EMPREENDEDORISMO E GESTÃO DE NEGÓCIOS</v>
          </cell>
          <cell r="G353" t="str">
            <v>Gestão</v>
          </cell>
          <cell r="H353">
            <v>15</v>
          </cell>
          <cell r="I353">
            <v>19</v>
          </cell>
          <cell r="J353">
            <v>320.59937400000007</v>
          </cell>
          <cell r="K353">
            <v>6091.3881060000012</v>
          </cell>
          <cell r="L353">
            <v>0.3</v>
          </cell>
          <cell r="M353">
            <v>201.98</v>
          </cell>
          <cell r="N353">
            <v>3837.62</v>
          </cell>
          <cell r="O353">
            <v>0.36999253155123146</v>
          </cell>
          <cell r="P353">
            <v>0.35</v>
          </cell>
          <cell r="Q353">
            <v>187.55</v>
          </cell>
        </row>
        <row r="354">
          <cell r="F354" t="str">
            <v>ESPECIALIZAÇÃO EM CIÊNCIAS CRIMINAIS</v>
          </cell>
          <cell r="G354" t="str">
            <v>Direito</v>
          </cell>
          <cell r="H354">
            <v>12</v>
          </cell>
          <cell r="I354">
            <v>19</v>
          </cell>
          <cell r="J354">
            <v>262.27804200000003</v>
          </cell>
          <cell r="K354">
            <v>4983.2827980000002</v>
          </cell>
          <cell r="L354">
            <v>0.3</v>
          </cell>
          <cell r="M354">
            <v>165.24</v>
          </cell>
          <cell r="N354">
            <v>3139.5600000000004</v>
          </cell>
          <cell r="O354">
            <v>0.36998157093150785</v>
          </cell>
          <cell r="P354">
            <v>0.35</v>
          </cell>
          <cell r="Q354">
            <v>153.43</v>
          </cell>
        </row>
        <row r="355">
          <cell r="F355" t="str">
            <v>ESPECIALIZAÇÃO EM DIREITO PENAL E PROCESSO PENAL</v>
          </cell>
          <cell r="G355" t="str">
            <v>Direito</v>
          </cell>
          <cell r="H355">
            <v>12</v>
          </cell>
          <cell r="I355">
            <v>19</v>
          </cell>
          <cell r="J355">
            <v>262.27804200000003</v>
          </cell>
          <cell r="K355">
            <v>4983.2827980000002</v>
          </cell>
          <cell r="L355">
            <v>0.5</v>
          </cell>
          <cell r="M355">
            <v>118.03</v>
          </cell>
          <cell r="N355">
            <v>2242.5700000000002</v>
          </cell>
          <cell r="O355">
            <v>0.54998138959722753</v>
          </cell>
          <cell r="P355">
            <v>0.55000000000000004</v>
          </cell>
          <cell r="Q355">
            <v>106.22</v>
          </cell>
        </row>
        <row r="356">
          <cell r="F356" t="str">
            <v>ESPECIALIZAÇÃO EM DIREITO DO TRABALHO E PREVIDENCIÁRIO</v>
          </cell>
          <cell r="G356" t="str">
            <v>Direito</v>
          </cell>
          <cell r="H356">
            <v>12</v>
          </cell>
          <cell r="I356">
            <v>19</v>
          </cell>
          <cell r="J356">
            <v>262.27804200000003</v>
          </cell>
          <cell r="K356">
            <v>4983.2827980000002</v>
          </cell>
          <cell r="L356">
            <v>0.5</v>
          </cell>
          <cell r="M356">
            <v>118.03</v>
          </cell>
          <cell r="N356">
            <v>2242.5700000000002</v>
          </cell>
          <cell r="O356">
            <v>0.54998138959722753</v>
          </cell>
          <cell r="P356">
            <v>0.55000000000000004</v>
          </cell>
          <cell r="Q356">
            <v>106.22</v>
          </cell>
        </row>
        <row r="357">
          <cell r="F357" t="str">
            <v>ESPECIALIZAÇÃO EM BANCO DE DADOS ORACLE</v>
          </cell>
          <cell r="G357" t="str">
            <v>Tecnologia/Engenharia</v>
          </cell>
          <cell r="H357">
            <v>12</v>
          </cell>
          <cell r="I357">
            <v>19</v>
          </cell>
          <cell r="J357">
            <v>291.43870800000002</v>
          </cell>
          <cell r="K357">
            <v>5537.3354520000003</v>
          </cell>
          <cell r="L357">
            <v>0.5</v>
          </cell>
          <cell r="M357">
            <v>131.15</v>
          </cell>
          <cell r="N357">
            <v>2491.85</v>
          </cell>
          <cell r="O357">
            <v>0.54999114256298443</v>
          </cell>
          <cell r="P357">
            <v>0.55000000000000004</v>
          </cell>
          <cell r="Q357">
            <v>118.03</v>
          </cell>
        </row>
        <row r="358">
          <cell r="F358" t="str">
            <v>ESPECIALIZAÇÃO EM GESTÃO DE DEPARTAMENTO PESSOAL E LEGISLAÇÃO TRABALHISTA</v>
          </cell>
          <cell r="G358" t="str">
            <v>Gestão</v>
          </cell>
          <cell r="H358">
            <v>15</v>
          </cell>
          <cell r="I358">
            <v>19</v>
          </cell>
          <cell r="J358">
            <v>320.59937400000007</v>
          </cell>
          <cell r="K358">
            <v>6091.3881060000012</v>
          </cell>
          <cell r="L358">
            <v>0.3</v>
          </cell>
          <cell r="M358">
            <v>201.98</v>
          </cell>
          <cell r="N358">
            <v>3837.62</v>
          </cell>
          <cell r="O358">
            <v>0.36999253155123146</v>
          </cell>
          <cell r="P358">
            <v>0.35</v>
          </cell>
          <cell r="Q358">
            <v>187.55</v>
          </cell>
        </row>
        <row r="359">
          <cell r="F359" t="str">
            <v>ESPECIALIZAÇÃO EM LIBRAS, SAÚDE E EDUCAÇÃO ESPECIAL E INCLUSIVA</v>
          </cell>
          <cell r="G359" t="str">
            <v>Educação</v>
          </cell>
          <cell r="H359">
            <v>12</v>
          </cell>
          <cell r="I359">
            <v>19</v>
          </cell>
          <cell r="J359">
            <v>262.27804200000003</v>
          </cell>
          <cell r="K359">
            <v>4983.2827980000002</v>
          </cell>
          <cell r="L359">
            <v>0.4</v>
          </cell>
          <cell r="M359">
            <v>141.63</v>
          </cell>
          <cell r="N359">
            <v>2690.97</v>
          </cell>
          <cell r="O359">
            <v>0.46000054400284118</v>
          </cell>
          <cell r="P359">
            <v>0.45</v>
          </cell>
          <cell r="Q359">
            <v>129.83000000000001</v>
          </cell>
        </row>
        <row r="360">
          <cell r="F360" t="str">
            <v>ESPECIALIZAÇÃO EM ENFERMAGEM EM URGÊNCIA E EMERGÊNCIA</v>
          </cell>
          <cell r="G360" t="str">
            <v>Saúde</v>
          </cell>
          <cell r="H360">
            <v>12</v>
          </cell>
          <cell r="I360">
            <v>19</v>
          </cell>
          <cell r="J360">
            <v>291.43870800000002</v>
          </cell>
          <cell r="K360">
            <v>5537.3354520000003</v>
          </cell>
          <cell r="L360">
            <v>0.5</v>
          </cell>
          <cell r="M360">
            <v>131.15</v>
          </cell>
          <cell r="N360">
            <v>2491.85</v>
          </cell>
          <cell r="O360">
            <v>0.54999114256298443</v>
          </cell>
          <cell r="P360">
            <v>0.55000000000000004</v>
          </cell>
          <cell r="Q360">
            <v>118.03</v>
          </cell>
        </row>
        <row r="361">
          <cell r="F361" t="str">
            <v>MBA EM GESTÃO TRIBUTÁRIA</v>
          </cell>
          <cell r="G361" t="str">
            <v>Gestão</v>
          </cell>
          <cell r="H361">
            <v>15</v>
          </cell>
          <cell r="I361">
            <v>19</v>
          </cell>
          <cell r="J361">
            <v>320.59937400000007</v>
          </cell>
          <cell r="K361">
            <v>6091.3881060000012</v>
          </cell>
          <cell r="L361">
            <v>0.5</v>
          </cell>
          <cell r="M361">
            <v>144.27000000000001</v>
          </cell>
          <cell r="N361">
            <v>2741.13</v>
          </cell>
          <cell r="O361">
            <v>0.54999912133328133</v>
          </cell>
          <cell r="P361">
            <v>0.55000000000000004</v>
          </cell>
          <cell r="Q361">
            <v>129.84</v>
          </cell>
        </row>
        <row r="362">
          <cell r="F362" t="str">
            <v>ESPECIALIZAÇÃO EM PSICOPEDAGOGIA CLÍNICA, INSTITUCIONAL E HOSPITALAR</v>
          </cell>
          <cell r="G362" t="str">
            <v>Educação</v>
          </cell>
          <cell r="H362">
            <v>18</v>
          </cell>
          <cell r="I362">
            <v>19</v>
          </cell>
          <cell r="J362">
            <v>419.73304200000007</v>
          </cell>
          <cell r="K362">
            <v>7974.9277980000015</v>
          </cell>
          <cell r="L362">
            <v>0.5</v>
          </cell>
          <cell r="M362">
            <v>188.88</v>
          </cell>
          <cell r="N362">
            <v>3588.72</v>
          </cell>
          <cell r="O362">
            <v>0.54999968765861429</v>
          </cell>
          <cell r="P362">
            <v>0.55000000000000004</v>
          </cell>
          <cell r="Q362">
            <v>169.99</v>
          </cell>
        </row>
        <row r="363">
          <cell r="F363" t="str">
            <v>ESPECIALIZAÇÃO EM GESTÃO TRIBUTÁRIA, TRABALHISTA E PREVIDENCIÁRIA</v>
          </cell>
          <cell r="G363" t="str">
            <v>Gestão</v>
          </cell>
          <cell r="H363">
            <v>15</v>
          </cell>
          <cell r="I363">
            <v>19</v>
          </cell>
          <cell r="J363">
            <v>320.59937400000007</v>
          </cell>
          <cell r="K363">
            <v>6091.3881060000012</v>
          </cell>
          <cell r="L363">
            <v>0.5</v>
          </cell>
          <cell r="M363">
            <v>144.27000000000001</v>
          </cell>
          <cell r="N363">
            <v>2741.13</v>
          </cell>
          <cell r="O363">
            <v>0.54999912133328133</v>
          </cell>
          <cell r="P363">
            <v>0.55000000000000004</v>
          </cell>
          <cell r="Q363">
            <v>129.84</v>
          </cell>
        </row>
        <row r="364">
          <cell r="F364" t="str">
            <v>MBA EM GESTÃO DA QUALIDADE EM SAÚDE</v>
          </cell>
          <cell r="G364" t="str">
            <v>Gestão</v>
          </cell>
          <cell r="H364">
            <v>15</v>
          </cell>
          <cell r="I364">
            <v>19</v>
          </cell>
          <cell r="J364">
            <v>320.59937400000007</v>
          </cell>
          <cell r="K364">
            <v>6091.3881060000012</v>
          </cell>
          <cell r="L364">
            <v>0.3</v>
          </cell>
          <cell r="M364">
            <v>201.98</v>
          </cell>
          <cell r="N364">
            <v>3837.62</v>
          </cell>
          <cell r="O364">
            <v>0.36999253155123146</v>
          </cell>
          <cell r="P364">
            <v>0.35</v>
          </cell>
          <cell r="Q364">
            <v>187.55</v>
          </cell>
        </row>
        <row r="365">
          <cell r="F365" t="str">
            <v>ESPECIALIZAÇÃO EM REMUNERAÇÃO ESTRATÉGICA</v>
          </cell>
          <cell r="G365" t="str">
            <v>Gestão</v>
          </cell>
          <cell r="H365">
            <v>15</v>
          </cell>
          <cell r="I365">
            <v>19</v>
          </cell>
          <cell r="J365">
            <v>728.81720700000005</v>
          </cell>
          <cell r="K365">
            <v>13847.526933000001</v>
          </cell>
          <cell r="L365">
            <v>0</v>
          </cell>
          <cell r="M365">
            <v>655.94</v>
          </cell>
          <cell r="N365">
            <v>12462.86</v>
          </cell>
          <cell r="O365">
            <v>9.9993806814717479E-2</v>
          </cell>
          <cell r="P365">
            <v>0</v>
          </cell>
          <cell r="Q365">
            <v>655.94</v>
          </cell>
        </row>
        <row r="366">
          <cell r="F366" t="str">
            <v>ESPECIALIZAÇÃO EM COMERCIALIZAÇÃO DE ENERGIA ELÉTRICA</v>
          </cell>
          <cell r="G366" t="str">
            <v>Gestão</v>
          </cell>
          <cell r="H366">
            <v>12</v>
          </cell>
          <cell r="I366">
            <v>19</v>
          </cell>
          <cell r="J366">
            <v>524.85</v>
          </cell>
          <cell r="K366">
            <v>9972.15</v>
          </cell>
          <cell r="L366">
            <v>0.5</v>
          </cell>
          <cell r="M366">
            <v>236.18</v>
          </cell>
          <cell r="N366">
            <v>4487.42</v>
          </cell>
          <cell r="O366">
            <v>0.55000476326569503</v>
          </cell>
          <cell r="P366">
            <v>0.55000000000000004</v>
          </cell>
          <cell r="Q366">
            <v>212.56</v>
          </cell>
        </row>
        <row r="367">
          <cell r="F367" t="str">
            <v>MBA EM GESTÃO DE RISCOS, COMPLIANCE E LGPD</v>
          </cell>
          <cell r="G367" t="str">
            <v>Gestão</v>
          </cell>
          <cell r="H367">
            <v>15</v>
          </cell>
          <cell r="I367">
            <v>19</v>
          </cell>
          <cell r="J367">
            <v>320.59937400000007</v>
          </cell>
          <cell r="K367">
            <v>6091.3881060000012</v>
          </cell>
          <cell r="L367">
            <v>0.3</v>
          </cell>
          <cell r="M367">
            <v>201.98</v>
          </cell>
          <cell r="N367">
            <v>3837.62</v>
          </cell>
          <cell r="O367">
            <v>0.36999253155123146</v>
          </cell>
          <cell r="P367">
            <v>0.35</v>
          </cell>
          <cell r="Q367">
            <v>187.55</v>
          </cell>
        </row>
        <row r="368">
          <cell r="F368" t="str">
            <v>MBA EM INOVAÇÃO, DESIGN E ESTRATÉGIA</v>
          </cell>
          <cell r="G368" t="str">
            <v>Gestão</v>
          </cell>
          <cell r="H368">
            <v>15</v>
          </cell>
          <cell r="I368">
            <v>19</v>
          </cell>
          <cell r="J368">
            <v>320.59937400000007</v>
          </cell>
          <cell r="K368">
            <v>6091.3881060000012</v>
          </cell>
          <cell r="L368">
            <v>0.4</v>
          </cell>
          <cell r="M368">
            <v>173.12</v>
          </cell>
          <cell r="N368">
            <v>3289.28</v>
          </cell>
          <cell r="O368">
            <v>0.46001142223066238</v>
          </cell>
          <cell r="P368">
            <v>0.45</v>
          </cell>
          <cell r="Q368">
            <v>158.69999999999999</v>
          </cell>
        </row>
        <row r="369">
          <cell r="F369" t="str">
            <v>MBA EM GESTÃO EXECUTIVA DE VENDAS 5.0</v>
          </cell>
          <cell r="G369" t="str">
            <v>Gestão</v>
          </cell>
          <cell r="H369">
            <v>15</v>
          </cell>
          <cell r="I369">
            <v>19</v>
          </cell>
          <cell r="J369">
            <v>320.59937400000007</v>
          </cell>
          <cell r="K369">
            <v>6091.3881060000012</v>
          </cell>
          <cell r="L369">
            <v>0.5</v>
          </cell>
          <cell r="M369">
            <v>144.27000000000001</v>
          </cell>
          <cell r="N369">
            <v>2741.13</v>
          </cell>
          <cell r="O369">
            <v>0.54999912133328133</v>
          </cell>
          <cell r="P369">
            <v>0.55000000000000004</v>
          </cell>
          <cell r="Q369">
            <v>129.84</v>
          </cell>
        </row>
        <row r="370">
          <cell r="F370" t="str">
            <v>MBA EM INDÚSTRIA 5.0</v>
          </cell>
          <cell r="G370" t="str">
            <v>Gestão</v>
          </cell>
          <cell r="H370">
            <v>15</v>
          </cell>
          <cell r="I370">
            <v>19</v>
          </cell>
          <cell r="J370">
            <v>320.59937400000007</v>
          </cell>
          <cell r="K370">
            <v>6091.3881060000012</v>
          </cell>
          <cell r="L370">
            <v>0.4</v>
          </cell>
          <cell r="M370">
            <v>173.12</v>
          </cell>
          <cell r="N370">
            <v>3289.28</v>
          </cell>
          <cell r="O370">
            <v>0.46001142223066238</v>
          </cell>
          <cell r="P370">
            <v>0.45</v>
          </cell>
          <cell r="Q370">
            <v>158.69999999999999</v>
          </cell>
        </row>
        <row r="371">
          <cell r="F371" t="str">
            <v>ESPECIALIZAÇÃO EM COACHING E DESENVOLVIMENTO DE LIDERANÇAS</v>
          </cell>
          <cell r="G371" t="str">
            <v>Gestão</v>
          </cell>
          <cell r="H371">
            <v>12</v>
          </cell>
          <cell r="I371">
            <v>19</v>
          </cell>
          <cell r="J371">
            <v>320.59937400000007</v>
          </cell>
          <cell r="K371">
            <v>6091.3881060000012</v>
          </cell>
          <cell r="L371">
            <v>0.3</v>
          </cell>
          <cell r="M371">
            <v>201.98</v>
          </cell>
          <cell r="N371">
            <v>3837.62</v>
          </cell>
          <cell r="O371">
            <v>0.36999253155123146</v>
          </cell>
          <cell r="P371">
            <v>0.35</v>
          </cell>
          <cell r="Q371">
            <v>187.55</v>
          </cell>
        </row>
        <row r="372">
          <cell r="F372" t="str">
            <v>ESPECIALIZAÇÃO EM FISIOTERAPIA DERMATOFUNCIONAL</v>
          </cell>
          <cell r="G372" t="str">
            <v>Saúde</v>
          </cell>
          <cell r="H372">
            <v>12</v>
          </cell>
          <cell r="I372">
            <v>19</v>
          </cell>
          <cell r="J372">
            <v>291.43870800000002</v>
          </cell>
          <cell r="K372">
            <v>5537.3354520000003</v>
          </cell>
          <cell r="L372">
            <v>0.4</v>
          </cell>
          <cell r="M372">
            <v>157.38</v>
          </cell>
          <cell r="N372">
            <v>2990.22</v>
          </cell>
          <cell r="O372">
            <v>0.45998937107558135</v>
          </cell>
          <cell r="P372">
            <v>0.45</v>
          </cell>
          <cell r="Q372">
            <v>144.26</v>
          </cell>
        </row>
        <row r="373">
          <cell r="F373" t="str">
            <v>ESPECIALIZAÇÃO EM FISIOTERAPIA EM UNIDADE DE TERAPIA INTENSIVA</v>
          </cell>
          <cell r="G373" t="str">
            <v>Saúde</v>
          </cell>
          <cell r="H373">
            <v>12</v>
          </cell>
          <cell r="I373">
            <v>19</v>
          </cell>
          <cell r="J373">
            <v>291.43870800000002</v>
          </cell>
          <cell r="K373">
            <v>5537.3354520000003</v>
          </cell>
          <cell r="L373">
            <v>0.3</v>
          </cell>
          <cell r="M373">
            <v>183.61</v>
          </cell>
          <cell r="N373">
            <v>3488.59</v>
          </cell>
          <cell r="O373">
            <v>0.36998759958817828</v>
          </cell>
          <cell r="P373">
            <v>0.35</v>
          </cell>
          <cell r="Q373">
            <v>170.49</v>
          </cell>
        </row>
        <row r="374">
          <cell r="F374" t="str">
            <v>ESPECIALIZAÇÃO EM ANÁLISES CLÍNICAS E DIAGNÓSTICO LABORATORIAL</v>
          </cell>
          <cell r="G374" t="str">
            <v>Saúde</v>
          </cell>
          <cell r="H374">
            <v>12</v>
          </cell>
          <cell r="I374">
            <v>19</v>
          </cell>
          <cell r="J374">
            <v>291.43870800000002</v>
          </cell>
          <cell r="K374">
            <v>5537.3354520000003</v>
          </cell>
          <cell r="L374">
            <v>0.5</v>
          </cell>
          <cell r="M374">
            <v>131.15</v>
          </cell>
          <cell r="N374">
            <v>2491.85</v>
          </cell>
          <cell r="O374">
            <v>0.54999114256298443</v>
          </cell>
          <cell r="P374">
            <v>0.55000000000000004</v>
          </cell>
          <cell r="Q374">
            <v>118.03</v>
          </cell>
        </row>
        <row r="375">
          <cell r="F375" t="str">
            <v>ESPECIALIZAÇÃO EM NEUROCIÊNCIAS E COMPORTAMENTO HUMANO</v>
          </cell>
          <cell r="G375" t="str">
            <v>Saúde</v>
          </cell>
          <cell r="H375">
            <v>12</v>
          </cell>
          <cell r="I375">
            <v>19</v>
          </cell>
          <cell r="J375">
            <v>291.43870800000002</v>
          </cell>
          <cell r="K375">
            <v>5537.3354520000003</v>
          </cell>
          <cell r="L375">
            <v>0.5</v>
          </cell>
          <cell r="M375">
            <v>131.15</v>
          </cell>
          <cell r="N375">
            <v>2491.85</v>
          </cell>
          <cell r="O375">
            <v>0.54999114256298443</v>
          </cell>
          <cell r="P375">
            <v>0.55000000000000004</v>
          </cell>
          <cell r="Q375">
            <v>118.03</v>
          </cell>
        </row>
        <row r="376">
          <cell r="F376" t="str">
            <v>MBA EM DATA SCIENCE, ANALYTICS e BI</v>
          </cell>
          <cell r="G376" t="str">
            <v>Tecnologia/Engenharia</v>
          </cell>
          <cell r="H376">
            <v>15</v>
          </cell>
          <cell r="I376">
            <v>19</v>
          </cell>
          <cell r="J376">
            <v>320.59937400000007</v>
          </cell>
          <cell r="K376">
            <v>6091.3881060000012</v>
          </cell>
          <cell r="L376">
            <v>0.4</v>
          </cell>
          <cell r="M376">
            <v>173.12</v>
          </cell>
          <cell r="N376">
            <v>3289.28</v>
          </cell>
          <cell r="O376">
            <v>0.46001142223066238</v>
          </cell>
          <cell r="P376">
            <v>0.45</v>
          </cell>
          <cell r="Q376">
            <v>158.69999999999999</v>
          </cell>
        </row>
        <row r="377">
          <cell r="F377" t="str">
            <v>ESPECIALIZAÇÃO EM SEXOLOGIA E SEXUALIDADE HUMANA</v>
          </cell>
          <cell r="G377" t="str">
            <v>Saúde</v>
          </cell>
          <cell r="H377">
            <v>12</v>
          </cell>
          <cell r="I377">
            <v>19</v>
          </cell>
          <cell r="J377">
            <v>291.43870800000002</v>
          </cell>
          <cell r="K377">
            <v>5537.3354520000003</v>
          </cell>
          <cell r="L377">
            <v>0.5</v>
          </cell>
          <cell r="M377">
            <v>131.15</v>
          </cell>
          <cell r="N377">
            <v>2491.85</v>
          </cell>
          <cell r="O377">
            <v>0.54999114256298443</v>
          </cell>
          <cell r="P377">
            <v>0.55000000000000004</v>
          </cell>
          <cell r="Q377">
            <v>118.03</v>
          </cell>
        </row>
        <row r="378">
          <cell r="F378" t="str">
            <v>ESPECIALIZAÇÃO EM SEGURANÇA DA INFORMAÇÃO</v>
          </cell>
          <cell r="G378" t="str">
            <v>Tecnologia/Engenharia</v>
          </cell>
          <cell r="H378">
            <v>12</v>
          </cell>
          <cell r="I378">
            <v>19</v>
          </cell>
          <cell r="J378">
            <v>291.43870800000002</v>
          </cell>
          <cell r="K378">
            <v>5537.3354520000003</v>
          </cell>
          <cell r="L378">
            <v>0.4</v>
          </cell>
          <cell r="M378">
            <v>157.38</v>
          </cell>
          <cell r="N378">
            <v>2990.22</v>
          </cell>
          <cell r="O378">
            <v>0.45998937107558135</v>
          </cell>
          <cell r="P378">
            <v>0.45</v>
          </cell>
          <cell r="Q378">
            <v>144.26</v>
          </cell>
        </row>
        <row r="379">
          <cell r="F379" t="str">
            <v>ESPECIALIZAÇÃO EM TESTE E QUALIDADE DE SOFTWARE</v>
          </cell>
          <cell r="G379" t="str">
            <v>Tecnologia/Engenharia</v>
          </cell>
          <cell r="H379">
            <v>12</v>
          </cell>
          <cell r="I379">
            <v>19</v>
          </cell>
          <cell r="J379">
            <v>291.43870800000002</v>
          </cell>
          <cell r="K379">
            <v>5537.3354520000003</v>
          </cell>
          <cell r="L379">
            <v>0.3</v>
          </cell>
          <cell r="M379">
            <v>183.61</v>
          </cell>
          <cell r="N379">
            <v>3488.59</v>
          </cell>
          <cell r="O379">
            <v>0.36998759958817828</v>
          </cell>
          <cell r="P379">
            <v>0.35</v>
          </cell>
          <cell r="Q379">
            <v>170.49</v>
          </cell>
        </row>
        <row r="380">
          <cell r="F380" t="str">
            <v>ESPECIALIZAÇÃO EM DIREITO DIGITAL, INOVAÇÃO E STARTUPS</v>
          </cell>
          <cell r="G380" t="str">
            <v>Direito</v>
          </cell>
          <cell r="H380">
            <v>12</v>
          </cell>
          <cell r="I380">
            <v>19</v>
          </cell>
          <cell r="J380">
            <v>262.27804200000003</v>
          </cell>
          <cell r="K380">
            <v>4983.2827980000002</v>
          </cell>
          <cell r="L380">
            <v>0.5</v>
          </cell>
          <cell r="M380">
            <v>118.03</v>
          </cell>
          <cell r="N380">
            <v>2242.5700000000002</v>
          </cell>
          <cell r="O380">
            <v>0.54998138959722753</v>
          </cell>
          <cell r="P380">
            <v>0.55000000000000004</v>
          </cell>
          <cell r="Q380">
            <v>106.22</v>
          </cell>
        </row>
        <row r="381">
          <cell r="F381" t="str">
            <v>ESPECIALIZAÇÃO EM DIREITO LICITATÓRIO E CONTRATAÇÕES PÚBLICAS</v>
          </cell>
          <cell r="G381" t="str">
            <v>Direito</v>
          </cell>
          <cell r="H381">
            <v>12</v>
          </cell>
          <cell r="I381">
            <v>19</v>
          </cell>
          <cell r="J381">
            <v>262.27804200000003</v>
          </cell>
          <cell r="K381">
            <v>4983.2827980000002</v>
          </cell>
          <cell r="L381">
            <v>0.3</v>
          </cell>
          <cell r="M381">
            <v>165.24</v>
          </cell>
          <cell r="N381">
            <v>3139.5600000000004</v>
          </cell>
          <cell r="O381">
            <v>0.36998157093150785</v>
          </cell>
          <cell r="P381">
            <v>0.35</v>
          </cell>
          <cell r="Q381">
            <v>153.43</v>
          </cell>
        </row>
        <row r="382">
          <cell r="F382" t="str">
            <v>ESPECIALIZAÇÃO EM DIREITO PROCESSUAL: ADMIN., CONSTITUCIONAL, CIVIL, PENAL, TRABALHISTA E TRIBUTÁRIO</v>
          </cell>
          <cell r="G382" t="str">
            <v>Direito</v>
          </cell>
          <cell r="H382">
            <v>12</v>
          </cell>
          <cell r="I382">
            <v>19</v>
          </cell>
          <cell r="J382">
            <v>262.27804200000003</v>
          </cell>
          <cell r="K382">
            <v>4983.2827980000002</v>
          </cell>
          <cell r="L382">
            <v>0.5</v>
          </cell>
          <cell r="M382">
            <v>118.03</v>
          </cell>
          <cell r="N382">
            <v>2242.5700000000002</v>
          </cell>
          <cell r="O382">
            <v>0.54998138959722753</v>
          </cell>
          <cell r="P382">
            <v>0.55000000000000004</v>
          </cell>
          <cell r="Q382">
            <v>106.22</v>
          </cell>
        </row>
        <row r="383">
          <cell r="F383" t="str">
            <v>ESPECIALIZAÇÃO EM DIREITO PÚBLICO: CONSTITUCIONAL, ADMINISTRATIVO E TRIBUTÁRIO</v>
          </cell>
          <cell r="G383" t="str">
            <v>Direito</v>
          </cell>
          <cell r="H383">
            <v>12</v>
          </cell>
          <cell r="I383">
            <v>19</v>
          </cell>
          <cell r="J383">
            <v>262.27804200000003</v>
          </cell>
          <cell r="K383">
            <v>4983.2827980000002</v>
          </cell>
          <cell r="L383">
            <v>0.4</v>
          </cell>
          <cell r="M383">
            <v>141.63</v>
          </cell>
          <cell r="N383">
            <v>2690.97</v>
          </cell>
          <cell r="O383">
            <v>0.46000054400284118</v>
          </cell>
          <cell r="P383">
            <v>0.45</v>
          </cell>
          <cell r="Q383">
            <v>129.83000000000001</v>
          </cell>
        </row>
        <row r="384">
          <cell r="F384" t="str">
            <v>ESPECIALIZAÇÃO EM DIREITO PÚBLICO COM ÊNFASE EM CONSTITUCIONAL E ADMINISTRATIVO</v>
          </cell>
          <cell r="G384" t="str">
            <v>Direito</v>
          </cell>
          <cell r="H384">
            <v>12</v>
          </cell>
          <cell r="I384">
            <v>19</v>
          </cell>
          <cell r="J384">
            <v>262.27804200000003</v>
          </cell>
          <cell r="K384">
            <v>4983.2827980000002</v>
          </cell>
          <cell r="L384">
            <v>0.5</v>
          </cell>
          <cell r="M384">
            <v>118.03</v>
          </cell>
          <cell r="N384">
            <v>2242.5700000000002</v>
          </cell>
          <cell r="O384">
            <v>0.54998138959722753</v>
          </cell>
          <cell r="P384">
            <v>0.55000000000000004</v>
          </cell>
          <cell r="Q384">
            <v>106.22</v>
          </cell>
        </row>
        <row r="385">
          <cell r="F385" t="str">
            <v>ESPECIALIZAÇÃO EM NEUROMARKETING &amp; CIÊNCIA DO CONSUMO</v>
          </cell>
          <cell r="G385" t="str">
            <v>Comunicação</v>
          </cell>
          <cell r="H385">
            <v>12</v>
          </cell>
          <cell r="I385">
            <v>19</v>
          </cell>
          <cell r="J385">
            <v>291.43870800000002</v>
          </cell>
          <cell r="K385">
            <v>5537.3354520000003</v>
          </cell>
          <cell r="L385">
            <v>0.5</v>
          </cell>
          <cell r="M385">
            <v>131.15</v>
          </cell>
          <cell r="N385">
            <v>2491.85</v>
          </cell>
          <cell r="O385">
            <v>0.54999114256298443</v>
          </cell>
          <cell r="P385">
            <v>0.55000000000000004</v>
          </cell>
          <cell r="Q385">
            <v>118.03</v>
          </cell>
        </row>
        <row r="386">
          <cell r="F386" t="str">
            <v>ESPECIALIZAÇÃO EM ALFABETIZAÇÃO E LETRAMENTO</v>
          </cell>
          <cell r="G386" t="str">
            <v>Educação</v>
          </cell>
          <cell r="H386">
            <v>12</v>
          </cell>
          <cell r="I386">
            <v>19</v>
          </cell>
          <cell r="J386">
            <v>262.27804200000003</v>
          </cell>
          <cell r="K386">
            <v>4983.2827980000002</v>
          </cell>
          <cell r="L386">
            <v>0.5</v>
          </cell>
          <cell r="M386">
            <v>118.03</v>
          </cell>
          <cell r="N386">
            <v>2242.5700000000002</v>
          </cell>
          <cell r="O386">
            <v>0.54998138959722753</v>
          </cell>
          <cell r="P386">
            <v>0.55000000000000004</v>
          </cell>
          <cell r="Q386">
            <v>106.22</v>
          </cell>
        </row>
        <row r="387">
          <cell r="F387" t="str">
            <v>ESPECIALIZAÇÃO EM TEA – TRANSTORNO DO ESPECTRO AUTISTA</v>
          </cell>
          <cell r="G387" t="str">
            <v>Educação</v>
          </cell>
          <cell r="H387">
            <v>12</v>
          </cell>
          <cell r="I387">
            <v>19</v>
          </cell>
          <cell r="J387">
            <v>262.27804200000003</v>
          </cell>
          <cell r="K387">
            <v>4983.2827980000002</v>
          </cell>
          <cell r="L387">
            <v>0.3</v>
          </cell>
          <cell r="M387">
            <v>165.24</v>
          </cell>
          <cell r="N387">
            <v>3139.5600000000004</v>
          </cell>
          <cell r="O387">
            <v>0.36998157093150785</v>
          </cell>
          <cell r="P387">
            <v>0.35</v>
          </cell>
          <cell r="Q387">
            <v>153.43</v>
          </cell>
        </row>
        <row r="388">
          <cell r="F388" t="str">
            <v>ESPECIALIZAÇÃO EM LINGUÍSTICA E ENSINO DA LÍNGUA PORTUGUESA</v>
          </cell>
          <cell r="G388" t="str">
            <v>Educação</v>
          </cell>
          <cell r="H388">
            <v>12</v>
          </cell>
          <cell r="I388">
            <v>19</v>
          </cell>
          <cell r="J388">
            <v>262.27804200000003</v>
          </cell>
          <cell r="K388">
            <v>4983.2827980000002</v>
          </cell>
          <cell r="L388">
            <v>0.4</v>
          </cell>
          <cell r="M388">
            <v>141.63</v>
          </cell>
          <cell r="N388">
            <v>2690.97</v>
          </cell>
          <cell r="O388">
            <v>0.46000054400284118</v>
          </cell>
          <cell r="P388">
            <v>0.45</v>
          </cell>
          <cell r="Q388">
            <v>129.83000000000001</v>
          </cell>
        </row>
        <row r="389">
          <cell r="F389" t="str">
            <v>ESPECIALIZAÇÃO EM FISIOLOGIA, CINESIOLOGIA E BIOMECÂNICA APLICADAS AO EXERCÍCIO</v>
          </cell>
          <cell r="G389" t="str">
            <v>Saúde</v>
          </cell>
          <cell r="H389">
            <v>12</v>
          </cell>
          <cell r="I389">
            <v>19</v>
          </cell>
          <cell r="J389">
            <v>291.43870800000002</v>
          </cell>
          <cell r="K389">
            <v>5537.3354520000003</v>
          </cell>
          <cell r="L389">
            <v>0.5</v>
          </cell>
          <cell r="M389">
            <v>131.15</v>
          </cell>
          <cell r="N389">
            <v>2491.85</v>
          </cell>
          <cell r="O389">
            <v>0.54999114256298443</v>
          </cell>
          <cell r="P389">
            <v>0.55000000000000004</v>
          </cell>
          <cell r="Q389">
            <v>118.03</v>
          </cell>
        </row>
        <row r="390">
          <cell r="F390" t="str">
            <v>ESPECIALIZAÇÃO EM IMAGINOLOGIA COM ÊNFASE EM TOMOGRAFIA COMPUTADORIZADA E RESSONÂNCIA MAGNÉTICA</v>
          </cell>
          <cell r="G390" t="str">
            <v>Saúde</v>
          </cell>
          <cell r="H390">
            <v>12</v>
          </cell>
          <cell r="I390">
            <v>19</v>
          </cell>
          <cell r="J390">
            <v>291.43870800000002</v>
          </cell>
          <cell r="K390">
            <v>5537.3354520000003</v>
          </cell>
          <cell r="L390">
            <v>0.5</v>
          </cell>
          <cell r="M390">
            <v>131.15</v>
          </cell>
          <cell r="N390">
            <v>2491.85</v>
          </cell>
          <cell r="O390">
            <v>0.54999114256298443</v>
          </cell>
          <cell r="P390">
            <v>0.55000000000000004</v>
          </cell>
          <cell r="Q390">
            <v>118.03</v>
          </cell>
        </row>
        <row r="391">
          <cell r="F391" t="str">
            <v>ESPECIALIZAÇÃO EM VIOLÊNCIA DE GÊNERO DIREITO, SAÚDE E DIVERSIDADE</v>
          </cell>
          <cell r="G391" t="str">
            <v>Direito</v>
          </cell>
          <cell r="H391">
            <v>12</v>
          </cell>
          <cell r="I391">
            <v>19</v>
          </cell>
          <cell r="J391">
            <v>262.27804200000003</v>
          </cell>
          <cell r="K391">
            <v>4983.2827980000002</v>
          </cell>
          <cell r="L391">
            <v>0.5</v>
          </cell>
          <cell r="M391">
            <v>118.03</v>
          </cell>
          <cell r="N391">
            <v>2242.5700000000002</v>
          </cell>
          <cell r="O391">
            <v>0.54998138959722753</v>
          </cell>
          <cell r="P391">
            <v>0.55000000000000004</v>
          </cell>
          <cell r="Q391">
            <v>106.22</v>
          </cell>
        </row>
        <row r="392">
          <cell r="F392" t="str">
            <v>MBA EM FINANÇAS CORPORATIVAS</v>
          </cell>
          <cell r="G392" t="str">
            <v>Gestão</v>
          </cell>
          <cell r="H392">
            <v>12</v>
          </cell>
          <cell r="I392">
            <v>19</v>
          </cell>
          <cell r="J392">
            <v>320.59937400000007</v>
          </cell>
          <cell r="K392">
            <v>6091.3881060000012</v>
          </cell>
          <cell r="L392">
            <v>0.5</v>
          </cell>
          <cell r="M392">
            <v>144.27000000000001</v>
          </cell>
          <cell r="N392">
            <v>2741.13</v>
          </cell>
          <cell r="O392">
            <v>0.54999912133328133</v>
          </cell>
          <cell r="P392">
            <v>0.55000000000000004</v>
          </cell>
          <cell r="Q392">
            <v>129.84</v>
          </cell>
        </row>
        <row r="393">
          <cell r="F393" t="str">
            <v>MBA EM ENGENHARIA DE SOFTWARE</v>
          </cell>
          <cell r="G393" t="str">
            <v>Tecnologia/Engenharia</v>
          </cell>
          <cell r="H393">
            <v>15</v>
          </cell>
          <cell r="I393">
            <v>19</v>
          </cell>
          <cell r="J393">
            <v>320.59937400000007</v>
          </cell>
          <cell r="K393">
            <v>6091.3881060000012</v>
          </cell>
          <cell r="L393">
            <v>0.5</v>
          </cell>
          <cell r="M393">
            <v>144.27000000000001</v>
          </cell>
          <cell r="N393">
            <v>2741.13</v>
          </cell>
          <cell r="O393">
            <v>0.54999912133328133</v>
          </cell>
          <cell r="P393">
            <v>0.55000000000000004</v>
          </cell>
          <cell r="Q393">
            <v>129.84</v>
          </cell>
        </row>
        <row r="394">
          <cell r="F394" t="str">
            <v>ESPECIALIZAÇÃO EM SOLUÇÃO DE CONFLITOS: MEDIAÇÃO E ARBITRAGEM</v>
          </cell>
          <cell r="G394" t="str">
            <v>Direito</v>
          </cell>
          <cell r="H394">
            <v>12</v>
          </cell>
          <cell r="I394">
            <v>19</v>
          </cell>
          <cell r="J394">
            <v>262.27804200000003</v>
          </cell>
          <cell r="K394">
            <v>4983.2827980000002</v>
          </cell>
          <cell r="L394">
            <v>0.4</v>
          </cell>
          <cell r="M394">
            <v>141.63</v>
          </cell>
          <cell r="N394">
            <v>2690.97</v>
          </cell>
          <cell r="O394">
            <v>0.46000054400284118</v>
          </cell>
          <cell r="P394">
            <v>0.45</v>
          </cell>
          <cell r="Q394">
            <v>129.83000000000001</v>
          </cell>
        </row>
        <row r="395">
          <cell r="F395" t="str">
            <v>ESPECIALIZAÇÃO EM MARKETING ESTRATÉGICO EM MÍDIAS E NEGÓCIOS DIGITAIS</v>
          </cell>
          <cell r="G395" t="str">
            <v>Comunicação</v>
          </cell>
          <cell r="H395">
            <v>12</v>
          </cell>
          <cell r="I395">
            <v>19</v>
          </cell>
          <cell r="J395">
            <v>291.43870800000002</v>
          </cell>
          <cell r="K395">
            <v>5537.3354520000003</v>
          </cell>
          <cell r="L395">
            <v>0.3</v>
          </cell>
          <cell r="M395">
            <v>183.61</v>
          </cell>
          <cell r="N395">
            <v>3488.59</v>
          </cell>
          <cell r="O395">
            <v>0.36998759958817828</v>
          </cell>
          <cell r="P395">
            <v>0.35</v>
          </cell>
          <cell r="Q395">
            <v>170.49</v>
          </cell>
        </row>
        <row r="396">
          <cell r="F396" t="str">
            <v>ESPECIALIZAÇÃO EM ESTUDOS FORENSE E CRIMINAL APLICADOS</v>
          </cell>
          <cell r="G396" t="str">
            <v>Direito</v>
          </cell>
          <cell r="H396">
            <v>15</v>
          </cell>
          <cell r="I396">
            <v>19</v>
          </cell>
          <cell r="J396">
            <v>419.73304200000007</v>
          </cell>
          <cell r="K396">
            <v>7974.9277980000015</v>
          </cell>
          <cell r="L396">
            <v>0.4</v>
          </cell>
          <cell r="M396">
            <v>226.66</v>
          </cell>
          <cell r="N396">
            <v>4306.54</v>
          </cell>
          <cell r="O396">
            <v>0.45999009532349389</v>
          </cell>
          <cell r="P396">
            <v>0.45</v>
          </cell>
          <cell r="Q396">
            <v>207.77</v>
          </cell>
        </row>
        <row r="397">
          <cell r="F397" t="str">
            <v>ESPECIALIZAÇÃO EM DIREITO TRIBUTÁRIO</v>
          </cell>
          <cell r="G397" t="str">
            <v>Direito</v>
          </cell>
          <cell r="H397">
            <v>12</v>
          </cell>
          <cell r="I397">
            <v>19</v>
          </cell>
          <cell r="J397">
            <v>262.27804200000003</v>
          </cell>
          <cell r="K397">
            <v>4983.2827980000002</v>
          </cell>
          <cell r="L397">
            <v>0.4</v>
          </cell>
          <cell r="M397">
            <v>141.63</v>
          </cell>
          <cell r="N397">
            <v>2690.97</v>
          </cell>
          <cell r="O397">
            <v>0.46000054400284118</v>
          </cell>
          <cell r="P397">
            <v>0.45</v>
          </cell>
          <cell r="Q397">
            <v>129.83000000000001</v>
          </cell>
        </row>
        <row r="398">
          <cell r="F398" t="str">
            <v>ESPECIALIZAÇÃO EM DIREITO EMPRESARIAL</v>
          </cell>
          <cell r="G398" t="str">
            <v>Direito</v>
          </cell>
          <cell r="H398">
            <v>12</v>
          </cell>
          <cell r="I398">
            <v>19</v>
          </cell>
          <cell r="J398">
            <v>262.27804200000003</v>
          </cell>
          <cell r="K398">
            <v>4983.2827980000002</v>
          </cell>
          <cell r="L398">
            <v>0.5</v>
          </cell>
          <cell r="M398">
            <v>118.03</v>
          </cell>
          <cell r="N398">
            <v>2242.5700000000002</v>
          </cell>
          <cell r="O398">
            <v>0.54998138959722753</v>
          </cell>
          <cell r="P398">
            <v>0.55000000000000004</v>
          </cell>
          <cell r="Q398">
            <v>106.22</v>
          </cell>
        </row>
        <row r="399">
          <cell r="F399" t="str">
            <v>ESPECIALIZAÇÃO EM DIREITO IMOBILIÁRIO</v>
          </cell>
          <cell r="G399" t="str">
            <v>Direito</v>
          </cell>
          <cell r="H399">
            <v>12</v>
          </cell>
          <cell r="I399">
            <v>19</v>
          </cell>
          <cell r="J399">
            <v>262.27804200000003</v>
          </cell>
          <cell r="K399">
            <v>4983.2827980000002</v>
          </cell>
          <cell r="L399">
            <v>0.3</v>
          </cell>
          <cell r="M399">
            <v>165.24</v>
          </cell>
          <cell r="N399">
            <v>3139.5600000000004</v>
          </cell>
          <cell r="O399">
            <v>0.36998157093150785</v>
          </cell>
          <cell r="P399">
            <v>0.35</v>
          </cell>
          <cell r="Q399">
            <v>153.43</v>
          </cell>
        </row>
        <row r="400">
          <cell r="F400" t="str">
            <v>ESPECIALIZAÇÃO EM ENGENHARIA DA MANUTENÇÃO</v>
          </cell>
          <cell r="G400" t="str">
            <v>Tecnologia/Engenharia</v>
          </cell>
          <cell r="H400">
            <v>12</v>
          </cell>
          <cell r="I400">
            <v>19</v>
          </cell>
          <cell r="J400">
            <v>320.59937400000007</v>
          </cell>
          <cell r="K400">
            <v>6091.3881060000012</v>
          </cell>
          <cell r="L400">
            <v>0.3</v>
          </cell>
          <cell r="M400">
            <v>201.98</v>
          </cell>
          <cell r="N400">
            <v>3837.62</v>
          </cell>
          <cell r="O400">
            <v>0.36999253155123146</v>
          </cell>
          <cell r="P400">
            <v>0.35</v>
          </cell>
          <cell r="Q400">
            <v>187.55</v>
          </cell>
        </row>
        <row r="401">
          <cell r="F401" t="str">
            <v>MBA EM ESG: RESPONSABILIDADE SOCIAL, AMBIENTAL E GOVERNANÇA CORPORATIVA</v>
          </cell>
          <cell r="G401" t="str">
            <v>Gestão</v>
          </cell>
          <cell r="H401">
            <v>14</v>
          </cell>
          <cell r="I401">
            <v>19</v>
          </cell>
          <cell r="J401">
            <v>524.85</v>
          </cell>
          <cell r="K401">
            <v>9972.15</v>
          </cell>
          <cell r="L401">
            <v>0.4</v>
          </cell>
          <cell r="M401">
            <v>283.42</v>
          </cell>
          <cell r="N401">
            <v>5384.9800000000005</v>
          </cell>
          <cell r="O401">
            <v>0.45999809469372199</v>
          </cell>
          <cell r="P401">
            <v>0.45</v>
          </cell>
          <cell r="Q401">
            <v>259.8</v>
          </cell>
        </row>
        <row r="402">
          <cell r="F402" t="str">
            <v>ESPECIALIZAÇÃO EM ENFERMAGEM DO TRABALHO</v>
          </cell>
          <cell r="G402" t="str">
            <v>Saúde</v>
          </cell>
          <cell r="H402">
            <v>12</v>
          </cell>
          <cell r="I402">
            <v>19</v>
          </cell>
          <cell r="J402">
            <v>291.43870800000002</v>
          </cell>
          <cell r="K402">
            <v>5537.3354520000003</v>
          </cell>
          <cell r="L402">
            <v>0.5</v>
          </cell>
          <cell r="M402">
            <v>131.15</v>
          </cell>
          <cell r="N402">
            <v>2491.85</v>
          </cell>
          <cell r="O402">
            <v>0.54999114256298443</v>
          </cell>
          <cell r="P402">
            <v>0.55000000000000004</v>
          </cell>
          <cell r="Q402">
            <v>118.03</v>
          </cell>
        </row>
        <row r="403">
          <cell r="F403" t="str">
            <v>ESPECIALIZAÇÃO MULTIPROFISSIONAL EM ONCOLOGIA</v>
          </cell>
          <cell r="G403" t="str">
            <v>Saúde</v>
          </cell>
          <cell r="H403">
            <v>12</v>
          </cell>
          <cell r="I403">
            <v>19</v>
          </cell>
          <cell r="J403">
            <v>364.32987600000001</v>
          </cell>
          <cell r="K403">
            <v>6922.2676440000005</v>
          </cell>
          <cell r="L403">
            <v>0.4</v>
          </cell>
          <cell r="M403">
            <v>196.74</v>
          </cell>
          <cell r="N403">
            <v>3738.0600000000004</v>
          </cell>
          <cell r="O403">
            <v>0.45999487563298269</v>
          </cell>
          <cell r="P403">
            <v>0.45</v>
          </cell>
          <cell r="Q403">
            <v>180.34</v>
          </cell>
        </row>
        <row r="404">
          <cell r="F404" t="str">
            <v>ESPECIALIZAÇÃO EM GESTÃO DE EXPERIÊNCIA DO CLIENTE EM SERVIÇOS DE SAÚDE</v>
          </cell>
          <cell r="G404" t="str">
            <v>Saúde</v>
          </cell>
          <cell r="H404">
            <v>12</v>
          </cell>
          <cell r="I404">
            <v>19</v>
          </cell>
          <cell r="J404">
            <v>291.43870800000002</v>
          </cell>
          <cell r="K404">
            <v>5537.3354520000003</v>
          </cell>
          <cell r="L404">
            <v>0.4</v>
          </cell>
          <cell r="M404">
            <v>157.38</v>
          </cell>
          <cell r="N404">
            <v>2990.22</v>
          </cell>
          <cell r="O404">
            <v>0.45998937107558135</v>
          </cell>
          <cell r="P404">
            <v>0.45</v>
          </cell>
          <cell r="Q404">
            <v>144.26</v>
          </cell>
        </row>
        <row r="405">
          <cell r="F405" t="str">
            <v>ESPECIALIZAÇÃO EM UX/UI DESIGN</v>
          </cell>
          <cell r="G405" t="str">
            <v>Tecnologia/Engenharia</v>
          </cell>
          <cell r="H405">
            <v>12</v>
          </cell>
          <cell r="I405">
            <v>19</v>
          </cell>
          <cell r="J405">
            <v>320.59937400000007</v>
          </cell>
          <cell r="K405">
            <v>6091.3881060000012</v>
          </cell>
          <cell r="L405">
            <v>0.5</v>
          </cell>
          <cell r="M405">
            <v>144.27000000000001</v>
          </cell>
          <cell r="N405">
            <v>2741.13</v>
          </cell>
          <cell r="O405">
            <v>0.54999912133328133</v>
          </cell>
          <cell r="P405">
            <v>0.55000000000000004</v>
          </cell>
          <cell r="Q405">
            <v>129.84</v>
          </cell>
        </row>
        <row r="406">
          <cell r="F406" t="str">
            <v>ESPECIALIZAÇÃO EM SAFETY EM AVIAÇÃO</v>
          </cell>
          <cell r="G406" t="str">
            <v>Tecnologia/Engenharia</v>
          </cell>
          <cell r="H406">
            <v>12</v>
          </cell>
          <cell r="I406">
            <v>19</v>
          </cell>
          <cell r="J406">
            <v>291.43870800000002</v>
          </cell>
          <cell r="K406">
            <v>5275.16</v>
          </cell>
          <cell r="L406">
            <v>0.4</v>
          </cell>
          <cell r="M406">
            <v>157.38</v>
          </cell>
          <cell r="N406">
            <v>2990.22</v>
          </cell>
          <cell r="O406">
            <v>0.45998937107558135</v>
          </cell>
          <cell r="P406">
            <v>0.45</v>
          </cell>
          <cell r="Q406">
            <v>144.26</v>
          </cell>
        </row>
        <row r="407">
          <cell r="F407" t="str">
            <v>ESPECIALIZAÇÃO EM ENFERMAGEM EM SAÚDE DA MULHER</v>
          </cell>
          <cell r="G407" t="str">
            <v>Saúde</v>
          </cell>
          <cell r="H407">
            <v>18</v>
          </cell>
          <cell r="I407">
            <v>19</v>
          </cell>
          <cell r="J407">
            <v>320.59937400000007</v>
          </cell>
          <cell r="K407">
            <v>6091.3881060000012</v>
          </cell>
          <cell r="L407">
            <v>0.4</v>
          </cell>
          <cell r="M407">
            <v>173.12</v>
          </cell>
          <cell r="N407">
            <v>3289.28</v>
          </cell>
          <cell r="O407">
            <v>0.46001142223066238</v>
          </cell>
          <cell r="P407">
            <v>0.45</v>
          </cell>
          <cell r="Q407">
            <v>158.69999999999999</v>
          </cell>
        </row>
        <row r="408">
          <cell r="F408" t="str">
            <v>ESPECIALIZAÇÃO EM MEDICAL SCIENCE LIAISON</v>
          </cell>
          <cell r="G408" t="str">
            <v>Saúde</v>
          </cell>
          <cell r="H408">
            <v>18</v>
          </cell>
          <cell r="I408">
            <v>19</v>
          </cell>
          <cell r="J408">
            <v>419.73304200000007</v>
          </cell>
          <cell r="K408">
            <v>7974.9277980000015</v>
          </cell>
          <cell r="L408">
            <v>0.4</v>
          </cell>
          <cell r="M408">
            <v>226.66</v>
          </cell>
          <cell r="N408">
            <v>4306.54</v>
          </cell>
          <cell r="O408">
            <v>0.45999009532349389</v>
          </cell>
          <cell r="P408">
            <v>0.45</v>
          </cell>
          <cell r="Q408">
            <v>207.77</v>
          </cell>
        </row>
        <row r="409">
          <cell r="F409" t="str">
            <v>ESPECIALIZAÇÃO EM PRESCRIÇÃO FARMACÊUTICA</v>
          </cell>
          <cell r="G409" t="str">
            <v>Saúde</v>
          </cell>
          <cell r="H409">
            <v>18</v>
          </cell>
          <cell r="I409">
            <v>19</v>
          </cell>
          <cell r="J409">
            <v>419.73304200000007</v>
          </cell>
          <cell r="K409">
            <v>7974.9277980000015</v>
          </cell>
          <cell r="L409">
            <v>0.4</v>
          </cell>
          <cell r="M409">
            <v>226.66</v>
          </cell>
          <cell r="N409">
            <v>4306.54</v>
          </cell>
          <cell r="O409">
            <v>0.45999009532349389</v>
          </cell>
          <cell r="P409">
            <v>0.45</v>
          </cell>
          <cell r="Q409">
            <v>207.77</v>
          </cell>
        </row>
        <row r="410">
          <cell r="F410" t="str">
            <v>ESPECIALIZAÇÃO EM NUTRIÇÃO EM SAÚDE DA MULHER E FITOTERAPIA</v>
          </cell>
          <cell r="G410" t="str">
            <v>Saúde</v>
          </cell>
          <cell r="H410">
            <v>18</v>
          </cell>
          <cell r="I410">
            <v>19</v>
          </cell>
          <cell r="J410">
            <v>419.73304200000007</v>
          </cell>
          <cell r="K410">
            <v>7974.9277980000015</v>
          </cell>
          <cell r="L410">
            <v>0.4</v>
          </cell>
          <cell r="M410">
            <v>226.66</v>
          </cell>
          <cell r="N410">
            <v>4306.54</v>
          </cell>
          <cell r="O410">
            <v>0.45999009532349389</v>
          </cell>
          <cell r="P410">
            <v>0.45</v>
          </cell>
          <cell r="Q410">
            <v>207.77</v>
          </cell>
        </row>
        <row r="411">
          <cell r="F411" t="str">
            <v>ESPECIALIZAÇÃO EM ENGENHARIA LEGAL E DIAGNÓSTICA PARA ENGENHEIROS E ARQUITETOS</v>
          </cell>
          <cell r="G411" t="str">
            <v>Tecnologia/Engenharia</v>
          </cell>
          <cell r="H411">
            <v>18</v>
          </cell>
          <cell r="I411">
            <v>19</v>
          </cell>
          <cell r="J411">
            <v>320.59937400000007</v>
          </cell>
          <cell r="K411">
            <v>6091.3881060000012</v>
          </cell>
          <cell r="L411">
            <v>0.4</v>
          </cell>
          <cell r="M411">
            <v>173.12</v>
          </cell>
          <cell r="N411">
            <v>3289.28</v>
          </cell>
          <cell r="O411">
            <v>0.46001142223066238</v>
          </cell>
          <cell r="P411">
            <v>0.45</v>
          </cell>
          <cell r="Q411">
            <v>158.69999999999999</v>
          </cell>
        </row>
        <row r="412">
          <cell r="F412" t="str">
            <v>ESPECIALIZAÇÃO EM JOGOS DIGITAIS</v>
          </cell>
          <cell r="G412" t="str">
            <v>Tecnologia/Engenharia</v>
          </cell>
          <cell r="H412">
            <v>18</v>
          </cell>
          <cell r="I412">
            <v>19</v>
          </cell>
          <cell r="J412">
            <v>320.59937400000007</v>
          </cell>
          <cell r="K412">
            <v>6091.3881060000012</v>
          </cell>
          <cell r="L412">
            <v>0.4</v>
          </cell>
          <cell r="M412">
            <v>173.12</v>
          </cell>
          <cell r="N412">
            <v>3289.28</v>
          </cell>
          <cell r="O412">
            <v>0.46001142223066238</v>
          </cell>
          <cell r="P412">
            <v>0.45</v>
          </cell>
          <cell r="Q412">
            <v>158.69999999999999</v>
          </cell>
        </row>
        <row r="413">
          <cell r="F413" t="str">
            <v>ESPECIALIZAÇÃO EM BIM APLICADA À CONSTRUÇÃO CIVIL</v>
          </cell>
          <cell r="G413" t="str">
            <v>Tecnologia/Engenharia</v>
          </cell>
          <cell r="H413">
            <v>18</v>
          </cell>
          <cell r="I413">
            <v>19</v>
          </cell>
          <cell r="J413">
            <v>419.73304200000007</v>
          </cell>
          <cell r="K413">
            <v>7974.9277980000015</v>
          </cell>
          <cell r="L413">
            <v>0.4</v>
          </cell>
          <cell r="M413">
            <v>226.66</v>
          </cell>
          <cell r="N413">
            <v>4306.54</v>
          </cell>
          <cell r="O413">
            <v>0.45999009532349389</v>
          </cell>
          <cell r="P413">
            <v>0.45</v>
          </cell>
          <cell r="Q413">
            <v>207.77</v>
          </cell>
        </row>
        <row r="414">
          <cell r="F414" t="str">
            <v>MBA EM GESTÃO DE PROCESSOS – BUSINESS PROCESS MANAGEMENT</v>
          </cell>
          <cell r="G414" t="str">
            <v>Gestão</v>
          </cell>
          <cell r="H414">
            <v>18</v>
          </cell>
          <cell r="I414">
            <v>19</v>
          </cell>
          <cell r="J414">
            <v>320.59937400000007</v>
          </cell>
          <cell r="K414">
            <v>6091.3881060000012</v>
          </cell>
          <cell r="L414">
            <v>0.4</v>
          </cell>
          <cell r="M414">
            <v>173.12</v>
          </cell>
          <cell r="N414">
            <v>3289.28</v>
          </cell>
          <cell r="O414">
            <v>0.46001142223066238</v>
          </cell>
          <cell r="P414">
            <v>0.45</v>
          </cell>
          <cell r="Q414">
            <v>158.69999999999999</v>
          </cell>
        </row>
        <row r="415">
          <cell r="F415" t="str">
            <v>MBA EM ENGENHARIA DA PRODUÇÃO, QUALIDADE E COMPETITIVIDADE</v>
          </cell>
          <cell r="G415" t="str">
            <v>Gestão</v>
          </cell>
          <cell r="H415">
            <v>18</v>
          </cell>
          <cell r="I415">
            <v>19</v>
          </cell>
          <cell r="J415">
            <v>320.59937400000007</v>
          </cell>
          <cell r="K415">
            <v>6091.3881060000012</v>
          </cell>
          <cell r="L415">
            <v>0.4</v>
          </cell>
          <cell r="M415">
            <v>173.12</v>
          </cell>
          <cell r="N415">
            <v>3289.28</v>
          </cell>
          <cell r="O415">
            <v>0.46001142223066238</v>
          </cell>
          <cell r="P415">
            <v>0.45</v>
          </cell>
          <cell r="Q415">
            <v>158.69999999999999</v>
          </cell>
        </row>
        <row r="416">
          <cell r="F416" t="str">
            <v>ESPECIALIZAÇÃO EM FONOAUDIOLOGIA HOSPITALAR</v>
          </cell>
          <cell r="G416" t="str">
            <v>Saúde</v>
          </cell>
          <cell r="H416">
            <v>18</v>
          </cell>
          <cell r="I416">
            <v>19</v>
          </cell>
          <cell r="J416">
            <v>320.59937400000007</v>
          </cell>
          <cell r="K416">
            <v>6091.3881060000012</v>
          </cell>
          <cell r="L416">
            <v>0.4</v>
          </cell>
          <cell r="M416">
            <v>173.12</v>
          </cell>
          <cell r="N416">
            <v>3289.28</v>
          </cell>
          <cell r="O416">
            <v>0.46001142223066238</v>
          </cell>
          <cell r="P416">
            <v>0.45</v>
          </cell>
          <cell r="Q416">
            <v>158.69999999999999</v>
          </cell>
        </row>
        <row r="417">
          <cell r="F417" t="str">
            <v>ESPECIALIZAÇÃO EM DIREITO DE FAMÍLIA E SUCESSÕES</v>
          </cell>
          <cell r="G417" t="str">
            <v>Direito</v>
          </cell>
          <cell r="H417">
            <v>18</v>
          </cell>
          <cell r="I417">
            <v>19</v>
          </cell>
          <cell r="J417">
            <v>320.59937400000007</v>
          </cell>
          <cell r="K417">
            <v>6091.3881060000012</v>
          </cell>
          <cell r="L417">
            <v>0.4</v>
          </cell>
          <cell r="M417">
            <v>173.12</v>
          </cell>
          <cell r="N417">
            <v>3289.28</v>
          </cell>
          <cell r="O417">
            <v>0.46001142223066238</v>
          </cell>
          <cell r="P417">
            <v>0.45</v>
          </cell>
          <cell r="Q417">
            <v>158.69999999999999</v>
          </cell>
        </row>
        <row r="418">
          <cell r="F418" t="str">
            <v>MBA EM GESTÃO DE ALTA PERFORMANCE</v>
          </cell>
          <cell r="G418" t="str">
            <v>Gestão</v>
          </cell>
          <cell r="H418">
            <v>18</v>
          </cell>
          <cell r="I418">
            <v>19</v>
          </cell>
          <cell r="J418">
            <v>320.59937400000007</v>
          </cell>
          <cell r="K418">
            <v>6091.3881060000012</v>
          </cell>
          <cell r="L418">
            <v>0.5</v>
          </cell>
          <cell r="M418">
            <v>144.27000000000001</v>
          </cell>
          <cell r="N418">
            <v>2741.13</v>
          </cell>
          <cell r="O418">
            <v>0.54999912133328133</v>
          </cell>
          <cell r="P418">
            <v>0.55000000000000004</v>
          </cell>
          <cell r="Q418">
            <v>129.84</v>
          </cell>
        </row>
        <row r="419">
          <cell r="F419" t="str">
            <v>LLM EM DIREITO MÉDICO E DA SAÚDE</v>
          </cell>
          <cell r="G419" t="str">
            <v>Direito</v>
          </cell>
          <cell r="H419">
            <v>18</v>
          </cell>
          <cell r="I419">
            <v>19</v>
          </cell>
          <cell r="J419">
            <v>419.73304200000007</v>
          </cell>
          <cell r="K419">
            <v>7974.9277980000015</v>
          </cell>
          <cell r="L419">
            <v>0.4</v>
          </cell>
          <cell r="M419">
            <v>226.66</v>
          </cell>
          <cell r="N419">
            <v>4306.54</v>
          </cell>
          <cell r="O419">
            <v>0.45999009532349389</v>
          </cell>
          <cell r="P419">
            <v>0.45</v>
          </cell>
          <cell r="Q419">
            <v>207.77</v>
          </cell>
        </row>
        <row r="420">
          <cell r="F420" t="str">
            <v>ESPECIALIZAÇÃO EM BIOINFORMÁTICA APLICADA À SAÚDE</v>
          </cell>
          <cell r="G420" t="str">
            <v>Tecnologia/Engenharia</v>
          </cell>
          <cell r="H420">
            <v>12</v>
          </cell>
          <cell r="I420">
            <v>19</v>
          </cell>
          <cell r="J420">
            <v>440.87400000000002</v>
          </cell>
          <cell r="K420">
            <v>8376.6059999999998</v>
          </cell>
          <cell r="L420">
            <v>0.4</v>
          </cell>
          <cell r="M420">
            <v>238.07</v>
          </cell>
          <cell r="N420">
            <v>4523.33</v>
          </cell>
          <cell r="O420">
            <v>0.46000444571464871</v>
          </cell>
          <cell r="P420">
            <v>0.45</v>
          </cell>
          <cell r="Q420">
            <v>218.23</v>
          </cell>
        </row>
        <row r="421">
          <cell r="F421" t="str">
            <v>ESPECIALIZAÇÃO EM EDUCAÇÃO ANTIRRACISTA E ESTUDOS ÉTNICO-RACIAIS</v>
          </cell>
          <cell r="G421" t="str">
            <v>Educação</v>
          </cell>
          <cell r="H421">
            <v>12</v>
          </cell>
          <cell r="I421">
            <v>19</v>
          </cell>
          <cell r="J421">
            <v>367.39500000000004</v>
          </cell>
          <cell r="K421">
            <v>6980.505000000001</v>
          </cell>
          <cell r="L421">
            <v>0.4</v>
          </cell>
          <cell r="M421">
            <v>198.39</v>
          </cell>
          <cell r="N421">
            <v>3769.41</v>
          </cell>
          <cell r="O421">
            <v>0.46000898215816777</v>
          </cell>
          <cell r="P421">
            <v>0.45</v>
          </cell>
          <cell r="Q421">
            <v>181.86</v>
          </cell>
        </row>
        <row r="422">
          <cell r="F422" t="str">
            <v>ESPECIALIZAÇÃO EM EDUCAÇÃO E INOVAÇÕES TECNOLÓGICAS</v>
          </cell>
          <cell r="G422" t="str">
            <v>Educação</v>
          </cell>
          <cell r="H422">
            <v>12</v>
          </cell>
          <cell r="I422">
            <v>19</v>
          </cell>
          <cell r="J422">
            <v>367.39500000000004</v>
          </cell>
          <cell r="K422">
            <v>6980.505000000001</v>
          </cell>
          <cell r="L422">
            <v>0.4</v>
          </cell>
          <cell r="M422">
            <v>198.39</v>
          </cell>
          <cell r="N422">
            <v>3769.41</v>
          </cell>
          <cell r="O422">
            <v>0.46000898215816777</v>
          </cell>
          <cell r="P422">
            <v>0.45</v>
          </cell>
          <cell r="Q422">
            <v>181.86</v>
          </cell>
        </row>
        <row r="423">
          <cell r="F423" t="str">
            <v>ESPECIALIZAÇÃO EM EDUCAÇÃO ESPECIAL E INCLUSIVA</v>
          </cell>
          <cell r="G423" t="str">
            <v>Educação</v>
          </cell>
          <cell r="H423">
            <v>12</v>
          </cell>
          <cell r="I423">
            <v>19</v>
          </cell>
          <cell r="J423">
            <v>367.39500000000004</v>
          </cell>
          <cell r="K423">
            <v>6650</v>
          </cell>
          <cell r="L423">
            <v>0.4</v>
          </cell>
          <cell r="M423">
            <v>198.39</v>
          </cell>
          <cell r="N423">
            <v>3769.41</v>
          </cell>
          <cell r="O423">
            <v>0.46000898215816777</v>
          </cell>
          <cell r="P423">
            <v>0.45</v>
          </cell>
          <cell r="Q423">
            <v>181.86</v>
          </cell>
        </row>
        <row r="424">
          <cell r="F424" t="str">
            <v>ESPECIALIZAÇÃO EM EDUCAÇÃO INFANTIL</v>
          </cell>
          <cell r="G424" t="str">
            <v>Educação</v>
          </cell>
          <cell r="H424">
            <v>12</v>
          </cell>
          <cell r="I424">
            <v>19</v>
          </cell>
          <cell r="J424">
            <v>320.431422</v>
          </cell>
          <cell r="K424">
            <v>6650</v>
          </cell>
          <cell r="L424">
            <v>0.4</v>
          </cell>
          <cell r="M424">
            <v>173.03</v>
          </cell>
          <cell r="N424">
            <v>3287.57</v>
          </cell>
          <cell r="O424">
            <v>0.46000926213784366</v>
          </cell>
          <cell r="P424">
            <v>0.45</v>
          </cell>
          <cell r="Q424">
            <v>158.61000000000001</v>
          </cell>
        </row>
        <row r="425">
          <cell r="F425" t="str">
            <v>ESPECIALIZAÇÃO EM PSICOPEDAGOGIA CLÍNICA E INSTITUCIONAL</v>
          </cell>
          <cell r="G425" t="str">
            <v>Educação</v>
          </cell>
          <cell r="H425">
            <v>12</v>
          </cell>
          <cell r="I425">
            <v>19</v>
          </cell>
          <cell r="J425">
            <v>367.39500000000004</v>
          </cell>
          <cell r="K425">
            <v>5799.94</v>
          </cell>
          <cell r="L425">
            <v>0.3</v>
          </cell>
          <cell r="M425">
            <v>231.46</v>
          </cell>
          <cell r="N425">
            <v>4397.74</v>
          </cell>
          <cell r="O425">
            <v>0.36999686985397195</v>
          </cell>
          <cell r="P425">
            <v>0.35</v>
          </cell>
          <cell r="Q425">
            <v>214.93</v>
          </cell>
        </row>
        <row r="426">
          <cell r="F426" t="str">
            <v>ESPECIALIZAÇÃO EM TERAPIAS COGNITIVO-COMPORTAMENTAIS</v>
          </cell>
          <cell r="G426" t="str">
            <v>Saúde</v>
          </cell>
          <cell r="H426">
            <v>12</v>
          </cell>
          <cell r="I426">
            <v>19</v>
          </cell>
          <cell r="J426">
            <v>356.89800000000002</v>
          </cell>
          <cell r="K426">
            <v>6650</v>
          </cell>
          <cell r="L426">
            <v>0.4</v>
          </cell>
          <cell r="M426">
            <v>192.72</v>
          </cell>
          <cell r="N426">
            <v>3661.68</v>
          </cell>
          <cell r="O426">
            <v>0.46001378545130545</v>
          </cell>
          <cell r="P426">
            <v>0.45</v>
          </cell>
          <cell r="Q426">
            <v>176.66</v>
          </cell>
        </row>
        <row r="427">
          <cell r="F427" t="str">
            <v>ESPECIALIZAÇÃO EM PSICOLOGIA HOSPITALAR</v>
          </cell>
          <cell r="G427" t="str">
            <v>Saúde</v>
          </cell>
          <cell r="H427">
            <v>12</v>
          </cell>
          <cell r="I427">
            <v>19</v>
          </cell>
          <cell r="J427">
            <v>356.89800000000002</v>
          </cell>
          <cell r="K427">
            <v>6781.0620000000008</v>
          </cell>
          <cell r="L427">
            <v>0.4</v>
          </cell>
          <cell r="M427">
            <v>192.72</v>
          </cell>
          <cell r="N427">
            <v>3661.68</v>
          </cell>
          <cell r="O427">
            <v>0.46001378545130545</v>
          </cell>
          <cell r="P427">
            <v>0.45</v>
          </cell>
          <cell r="Q427">
            <v>176.66</v>
          </cell>
        </row>
        <row r="428">
          <cell r="F428" t="str">
            <v>ESPECIALIZAÇÃO EM DEPENDÊNCIAS E COMPORTAMENTOS ADICTIVOS</v>
          </cell>
          <cell r="G428" t="str">
            <v>Saúde</v>
          </cell>
          <cell r="H428">
            <v>12</v>
          </cell>
          <cell r="I428">
            <v>19</v>
          </cell>
          <cell r="J428">
            <v>356.89800000000002</v>
          </cell>
          <cell r="K428">
            <v>6781.0620000000008</v>
          </cell>
          <cell r="L428">
            <v>0.4</v>
          </cell>
          <cell r="M428">
            <v>192.72</v>
          </cell>
          <cell r="N428">
            <v>3661.68</v>
          </cell>
          <cell r="O428">
            <v>0.46001378545130545</v>
          </cell>
          <cell r="P428">
            <v>0.45</v>
          </cell>
          <cell r="Q428">
            <v>176.66</v>
          </cell>
        </row>
        <row r="429">
          <cell r="F429" t="str">
            <v>ESPECIALIZAÇÃO EM PSICOLOGIA DA INFÂNCIA E ADOLESCÊNCIA</v>
          </cell>
          <cell r="G429" t="str">
            <v>Saúde</v>
          </cell>
          <cell r="H429">
            <v>12</v>
          </cell>
          <cell r="I429">
            <v>19</v>
          </cell>
          <cell r="J429">
            <v>409.38300000000004</v>
          </cell>
          <cell r="K429">
            <v>7778.277000000001</v>
          </cell>
          <cell r="L429">
            <v>0.4</v>
          </cell>
          <cell r="M429">
            <v>221.07</v>
          </cell>
          <cell r="N429">
            <v>4200.33</v>
          </cell>
          <cell r="O429">
            <v>0.45999223221286678</v>
          </cell>
          <cell r="P429">
            <v>0.45</v>
          </cell>
          <cell r="Q429">
            <v>202.64</v>
          </cell>
        </row>
        <row r="430">
          <cell r="F430" t="str">
            <v>ESPECIALIZAÇÃO EM PSICOMOTRICIDADE INSTITUCIONAL E CLÍNICA</v>
          </cell>
          <cell r="G430" t="str">
            <v>Educação</v>
          </cell>
          <cell r="H430">
            <v>12</v>
          </cell>
          <cell r="I430">
            <v>19</v>
          </cell>
          <cell r="J430">
            <v>367.39500000000004</v>
          </cell>
          <cell r="K430">
            <v>6980.505000000001</v>
          </cell>
          <cell r="L430">
            <v>0.4</v>
          </cell>
          <cell r="M430">
            <v>198.39</v>
          </cell>
          <cell r="N430">
            <v>3769.41</v>
          </cell>
          <cell r="O430">
            <v>0.46000898215816777</v>
          </cell>
          <cell r="P430">
            <v>0.45</v>
          </cell>
          <cell r="Q430">
            <v>181.86</v>
          </cell>
        </row>
        <row r="431">
          <cell r="F431" t="str">
            <v>ESPECIALIZAÇÃO EM AVALIAÇÃO E DIAGNÓSTICO PSICOLÓGICO</v>
          </cell>
          <cell r="G431" t="str">
            <v>Saúde</v>
          </cell>
          <cell r="H431">
            <v>12</v>
          </cell>
          <cell r="I431">
            <v>19</v>
          </cell>
          <cell r="J431">
            <v>409.38300000000004</v>
          </cell>
          <cell r="K431">
            <v>7778.277000000001</v>
          </cell>
          <cell r="L431">
            <v>0.4</v>
          </cell>
          <cell r="M431">
            <v>221.07</v>
          </cell>
          <cell r="N431">
            <v>4200.33</v>
          </cell>
          <cell r="O431">
            <v>0.45999223221286678</v>
          </cell>
          <cell r="P431">
            <v>0.45</v>
          </cell>
          <cell r="Q431">
            <v>202.64</v>
          </cell>
        </row>
        <row r="432">
          <cell r="F432" t="str">
            <v>ESPECIALIZAÇÃO EM ENGENHARIA DE SEGURANÇA DO TRABALHO</v>
          </cell>
          <cell r="G432" t="str">
            <v>Tecnologia/Engenharia</v>
          </cell>
          <cell r="H432">
            <v>20</v>
          </cell>
          <cell r="I432">
            <v>24</v>
          </cell>
          <cell r="J432">
            <v>614.94575100000009</v>
          </cell>
          <cell r="K432">
            <v>14758.698024000001</v>
          </cell>
          <cell r="L432">
            <v>0.4</v>
          </cell>
          <cell r="M432">
            <v>332.07</v>
          </cell>
          <cell r="N432">
            <v>7969.68</v>
          </cell>
          <cell r="O432">
            <v>0.46000114732071717</v>
          </cell>
          <cell r="P432">
            <v>0.45</v>
          </cell>
          <cell r="Q432">
            <v>304.39999999999998</v>
          </cell>
        </row>
        <row r="433">
          <cell r="F433" t="str">
            <v>ESPECIALIZAÇÃO EM INTELIGÊNCIA ARTIFICIAL (I.A) E MACHINE LEARNING</v>
          </cell>
          <cell r="G433" t="str">
            <v>Tecnologia/Engenharia</v>
          </cell>
          <cell r="H433">
            <v>12</v>
          </cell>
          <cell r="I433">
            <v>19</v>
          </cell>
          <cell r="J433">
            <v>291.43870800000002</v>
          </cell>
          <cell r="K433">
            <v>5537.3354520000003</v>
          </cell>
          <cell r="L433">
            <v>0.4</v>
          </cell>
          <cell r="M433">
            <v>157.38</v>
          </cell>
          <cell r="N433">
            <v>2990.22</v>
          </cell>
          <cell r="O433">
            <v>0.45998937107558135</v>
          </cell>
          <cell r="P433">
            <v>0.45</v>
          </cell>
          <cell r="Q433">
            <v>144.26</v>
          </cell>
        </row>
        <row r="434">
          <cell r="F434" t="str">
            <v>ESPECIALIZAÇÃO EM INTELIGÊNCIA DE DADOS PARA NEGÓCIOS</v>
          </cell>
          <cell r="G434" t="str">
            <v>Tecnologia/Engenharia</v>
          </cell>
          <cell r="H434">
            <v>12</v>
          </cell>
          <cell r="I434">
            <v>19</v>
          </cell>
          <cell r="J434">
            <v>291.43870800000002</v>
          </cell>
          <cell r="K434">
            <v>5537.3354520000003</v>
          </cell>
          <cell r="L434">
            <v>0.4</v>
          </cell>
          <cell r="M434">
            <v>157.38</v>
          </cell>
          <cell r="N434">
            <v>2990.22</v>
          </cell>
          <cell r="O434">
            <v>0.45998937107558135</v>
          </cell>
          <cell r="P434">
            <v>0.45</v>
          </cell>
          <cell r="Q434">
            <v>144.26</v>
          </cell>
        </row>
        <row r="435">
          <cell r="F435" t="str">
            <v>ESPECIALIZAÇÃO EM NUTROLOGIA</v>
          </cell>
          <cell r="G435" t="str">
            <v>Saúde</v>
          </cell>
          <cell r="H435">
            <v>12</v>
          </cell>
          <cell r="I435">
            <v>24</v>
          </cell>
          <cell r="J435">
            <v>1028.7060000000001</v>
          </cell>
          <cell r="K435">
            <v>24688.944000000003</v>
          </cell>
          <cell r="L435">
            <v>0</v>
          </cell>
          <cell r="M435">
            <v>925.84</v>
          </cell>
          <cell r="N435">
            <v>22220.16</v>
          </cell>
          <cell r="O435">
            <v>9.999552836281711E-2</v>
          </cell>
          <cell r="P435">
            <v>0</v>
          </cell>
          <cell r="Q435">
            <v>925.84</v>
          </cell>
        </row>
        <row r="436">
          <cell r="F436" t="str">
            <v>ESPECIALIZAÇÃO EM PERÍCIAS MÉDICAS</v>
          </cell>
          <cell r="G436" t="str">
            <v>Saúde</v>
          </cell>
          <cell r="H436">
            <v>12</v>
          </cell>
          <cell r="I436">
            <v>24</v>
          </cell>
          <cell r="J436">
            <v>1028.7060000000001</v>
          </cell>
          <cell r="K436">
            <v>24688.944000000003</v>
          </cell>
          <cell r="L436">
            <v>0</v>
          </cell>
          <cell r="M436">
            <v>925.84</v>
          </cell>
          <cell r="N436">
            <v>22220.16</v>
          </cell>
          <cell r="O436">
            <v>9.999552836281711E-2</v>
          </cell>
          <cell r="P436">
            <v>0</v>
          </cell>
          <cell r="Q436">
            <v>925.84</v>
          </cell>
        </row>
        <row r="437">
          <cell r="F437" t="str">
            <v>ESPECIALIZAÇÃO EM PSIQUIATRIA</v>
          </cell>
          <cell r="G437" t="str">
            <v>Saúde</v>
          </cell>
          <cell r="H437">
            <v>12</v>
          </cell>
          <cell r="I437">
            <v>24</v>
          </cell>
          <cell r="J437">
            <v>1028.7060000000001</v>
          </cell>
          <cell r="K437">
            <v>24688.944000000003</v>
          </cell>
          <cell r="L437">
            <v>0</v>
          </cell>
          <cell r="M437">
            <v>925.84</v>
          </cell>
          <cell r="N437">
            <v>22220.16</v>
          </cell>
          <cell r="O437">
            <v>9.999552836281711E-2</v>
          </cell>
          <cell r="P437">
            <v>0</v>
          </cell>
          <cell r="Q437">
            <v>925.84</v>
          </cell>
        </row>
        <row r="438">
          <cell r="F438" t="str">
            <v>ESPECIALIZAÇÃO EM MEDICINA DO TRABALHO</v>
          </cell>
          <cell r="G438" t="str">
            <v>Saúde</v>
          </cell>
          <cell r="H438">
            <v>12</v>
          </cell>
          <cell r="I438">
            <v>24</v>
          </cell>
          <cell r="J438">
            <v>1028.7060000000001</v>
          </cell>
          <cell r="K438">
            <v>24688.944000000003</v>
          </cell>
          <cell r="L438">
            <v>0</v>
          </cell>
          <cell r="M438">
            <v>925.84</v>
          </cell>
          <cell r="N438">
            <v>22220.16</v>
          </cell>
          <cell r="O438">
            <v>9.999552836281711E-2</v>
          </cell>
          <cell r="P438">
            <v>0</v>
          </cell>
          <cell r="Q438">
            <v>925.84</v>
          </cell>
        </row>
        <row r="439">
          <cell r="F439" t="str">
            <v>ESPECIALIZAÇÃO EM MEDICINA ENDOCANABINÓIDE</v>
          </cell>
          <cell r="G439" t="str">
            <v>Saúde</v>
          </cell>
          <cell r="H439">
            <v>12</v>
          </cell>
          <cell r="I439">
            <v>24</v>
          </cell>
          <cell r="J439">
            <v>1028.7060000000001</v>
          </cell>
          <cell r="K439">
            <v>24688.944000000003</v>
          </cell>
          <cell r="L439">
            <v>0</v>
          </cell>
          <cell r="M439">
            <v>925.84</v>
          </cell>
          <cell r="N439">
            <v>22220.16</v>
          </cell>
          <cell r="O439">
            <v>9.999552836281711E-2</v>
          </cell>
          <cell r="P439">
            <v>0</v>
          </cell>
          <cell r="Q439">
            <v>925.84</v>
          </cell>
        </row>
        <row r="440">
          <cell r="F440" t="e">
            <v>#N/A</v>
          </cell>
          <cell r="G440" t="str">
            <v>Saúde</v>
          </cell>
          <cell r="H440">
            <v>12</v>
          </cell>
          <cell r="I440">
            <v>24</v>
          </cell>
          <cell r="J440">
            <v>1028.7060000000001</v>
          </cell>
          <cell r="K440">
            <v>24688.944000000003</v>
          </cell>
          <cell r="L440">
            <v>0</v>
          </cell>
          <cell r="M440">
            <v>925.84</v>
          </cell>
          <cell r="N440">
            <v>22220.16</v>
          </cell>
          <cell r="O440">
            <v>9.999552836281711E-2</v>
          </cell>
          <cell r="P440">
            <v>0</v>
          </cell>
          <cell r="Q440">
            <v>925.84</v>
          </cell>
        </row>
        <row r="441">
          <cell r="F441" t="str">
            <v>ESPECIALIZAÇÃO EM EDUCAÇÃO EM RELAÇÕES DE GÊNERO, INTERSECCIONALIDADE E DIVERSIDADE</v>
          </cell>
          <cell r="G441" t="str">
            <v>Educação</v>
          </cell>
          <cell r="H441">
            <v>12</v>
          </cell>
          <cell r="I441">
            <v>19</v>
          </cell>
          <cell r="J441">
            <v>367.39500000000004</v>
          </cell>
          <cell r="K441">
            <v>6980.505000000001</v>
          </cell>
          <cell r="L441">
            <v>0.4</v>
          </cell>
          <cell r="M441">
            <v>198.39</v>
          </cell>
          <cell r="N441">
            <v>3769.41</v>
          </cell>
          <cell r="O441">
            <v>0.46000898215816777</v>
          </cell>
          <cell r="P441">
            <v>0.45</v>
          </cell>
          <cell r="Q441">
            <v>181.86</v>
          </cell>
        </row>
        <row r="442">
          <cell r="F442" t="str">
            <v>ESPECIALIZAÇÃO EM ABA - APPLIED BEHAVIOR ANALYSIS - ANÁLISE DO COMPORTAMENTO APLICADO</v>
          </cell>
          <cell r="G442" t="str">
            <v>Educação</v>
          </cell>
          <cell r="H442">
            <v>12</v>
          </cell>
          <cell r="I442">
            <v>19</v>
          </cell>
          <cell r="J442">
            <v>367.39500000000004</v>
          </cell>
          <cell r="K442">
            <v>6980.505000000001</v>
          </cell>
          <cell r="L442">
            <v>0.4</v>
          </cell>
          <cell r="M442">
            <v>198.39</v>
          </cell>
          <cell r="N442">
            <v>3769.41</v>
          </cell>
          <cell r="O442">
            <v>0.46000898215816777</v>
          </cell>
          <cell r="P442">
            <v>0.45</v>
          </cell>
          <cell r="Q442">
            <v>181.86</v>
          </cell>
        </row>
        <row r="443">
          <cell r="F443" t="str">
            <v>ESPECIALIZAÇÃO EM EDUCAÇÃO FÍSICA ESCOLAR</v>
          </cell>
          <cell r="G443" t="str">
            <v>Educação</v>
          </cell>
          <cell r="H443">
            <v>12</v>
          </cell>
          <cell r="I443">
            <v>19</v>
          </cell>
          <cell r="J443">
            <v>320.431422</v>
          </cell>
          <cell r="K443">
            <v>6088.1970179999998</v>
          </cell>
          <cell r="L443">
            <v>0.4</v>
          </cell>
          <cell r="M443">
            <v>173.03</v>
          </cell>
          <cell r="N443">
            <v>3287.57</v>
          </cell>
          <cell r="O443">
            <v>0.46000926213784366</v>
          </cell>
          <cell r="P443">
            <v>0.45</v>
          </cell>
          <cell r="Q443">
            <v>158.61000000000001</v>
          </cell>
        </row>
        <row r="444">
          <cell r="F444" t="str">
            <v>ESPECIALIZAÇÃO EM ENSINO DE CIÊNCIAS NATURAIS E SUAS TECNOLOGIAS</v>
          </cell>
          <cell r="G444" t="str">
            <v>Educação</v>
          </cell>
          <cell r="H444">
            <v>12</v>
          </cell>
          <cell r="I444">
            <v>19</v>
          </cell>
          <cell r="J444">
            <v>367.39500000000004</v>
          </cell>
          <cell r="K444">
            <v>6980.505000000001</v>
          </cell>
          <cell r="L444">
            <v>0.4</v>
          </cell>
          <cell r="M444">
            <v>198.39</v>
          </cell>
          <cell r="N444">
            <v>3769.41</v>
          </cell>
          <cell r="O444">
            <v>0.46000898215816777</v>
          </cell>
          <cell r="P444">
            <v>0.45</v>
          </cell>
          <cell r="Q444">
            <v>181.86</v>
          </cell>
        </row>
        <row r="445">
          <cell r="F445" t="str">
            <v>ESPECIALIZAÇÃO EM COMUNICAÇÃO CORPORATIVA E GESTÃO DE CRISES</v>
          </cell>
          <cell r="G445" t="str">
            <v>Gestão</v>
          </cell>
          <cell r="H445">
            <v>12</v>
          </cell>
          <cell r="I445">
            <v>19</v>
          </cell>
          <cell r="J445">
            <v>320.60000000000002</v>
          </cell>
          <cell r="K445">
            <v>6091.4000000000005</v>
          </cell>
          <cell r="L445">
            <v>0.4</v>
          </cell>
          <cell r="M445">
            <v>173.12</v>
          </cell>
          <cell r="N445">
            <v>3289.28</v>
          </cell>
          <cell r="O445">
            <v>0.46001247660636313</v>
          </cell>
          <cell r="P445">
            <v>0.45</v>
          </cell>
          <cell r="Q445">
            <v>158.69999999999999</v>
          </cell>
        </row>
        <row r="446">
          <cell r="F446" t="str">
            <v>MBA EM INTELIGÊNCIA ARTIFICIAL PARA GESTORES</v>
          </cell>
          <cell r="G446" t="str">
            <v>Gestão</v>
          </cell>
          <cell r="H446">
            <v>12</v>
          </cell>
          <cell r="I446">
            <v>19</v>
          </cell>
          <cell r="J446">
            <v>320.60000000000002</v>
          </cell>
          <cell r="K446">
            <v>6091.4000000000005</v>
          </cell>
          <cell r="L446">
            <v>0.4</v>
          </cell>
          <cell r="M446">
            <v>173.12</v>
          </cell>
          <cell r="N446">
            <v>3289.28</v>
          </cell>
          <cell r="O446">
            <v>0.46001247660636313</v>
          </cell>
          <cell r="P446">
            <v>0.45</v>
          </cell>
          <cell r="Q446">
            <v>158.69999999999999</v>
          </cell>
        </row>
        <row r="447">
          <cell r="F447" t="e">
            <v>#N/A</v>
          </cell>
          <cell r="G447" t="str">
            <v>Tecnologia/Engenharia</v>
          </cell>
          <cell r="H447">
            <v>15</v>
          </cell>
          <cell r="I447">
            <v>19</v>
          </cell>
          <cell r="J447">
            <v>320.59937400000007</v>
          </cell>
          <cell r="K447">
            <v>6091.3881060000012</v>
          </cell>
          <cell r="L447">
            <v>0</v>
          </cell>
          <cell r="M447">
            <v>288.54000000000002</v>
          </cell>
          <cell r="N447">
            <v>5482.26</v>
          </cell>
          <cell r="O447">
            <v>9.9998242666562542E-2</v>
          </cell>
          <cell r="P447">
            <v>0.05</v>
          </cell>
          <cell r="Q447">
            <v>274.11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73262F-BC91-42AE-9581-D25876DEB79A}" name="UNIFAEL" displayName="UNIFAEL" ref="L3:U225" totalsRowShown="0" headerRowDxfId="217" dataDxfId="216" tableBorderDxfId="215">
  <autoFilter ref="L3:U225" xr:uid="{E073262F-BC91-42AE-9581-D25876DEB79A}"/>
  <tableColumns count="10">
    <tableColumn id="1" xr3:uid="{A24D1EB5-C817-4AC7-9C5F-05CD9FE2ADD6}" name="CURSO" dataDxfId="214"/>
    <tableColumn id="10" xr3:uid="{D6709BCC-0892-4C9E-AFB2-0464F627D99A}" name="OFERTA" dataDxfId="213"/>
    <tableColumn id="12" xr3:uid="{F684547F-12C4-465B-B1AF-A3ED93EE4F3B}" name="ÁREA" dataDxfId="212">
      <calculatedColumnFormula>VLOOKUP($L$4,'[1]POS_EAD_0112 a 3101_CAMP. REG)'!$F$5:$G$231,2,FALSE)</calculatedColumnFormula>
    </tableColumn>
    <tableColumn id="9" xr3:uid="{1B75DE62-29A5-4FAB-8C7C-9E96E45349D8}" name="Duração Meses" dataDxfId="211">
      <calculatedColumnFormula>VLOOKUP(L4,'[1]POS_EAD_0112 a 3101_CAMP. REG)'!$F$5:$H$231,3,FALSE)</calculatedColumnFormula>
    </tableColumn>
    <tableColumn id="8" xr3:uid="{A8E4094C-A225-4BFF-8394-1C983C9E70B7}" name="Nº Parcelas" dataDxfId="210">
      <calculatedColumnFormula>VLOOKUP(L4,'[1]POS_EAD_0112 a 3101_CAMP. REG)'!$F$5:$I$231,4,FALSE)</calculatedColumnFormula>
    </tableColumn>
    <tableColumn id="2" xr3:uid="{692EF3B3-49C0-42E1-829F-8DFCD55BDD3C}" name="$ NORMAL" dataDxfId="209">
      <calculatedColumnFormula>VLOOKUP(L4,'[1]POS_EAD_0112 a 3101_CAMP. REG)'!$F$5:$J$231,5,FALSE)</calculatedColumnFormula>
    </tableColumn>
    <tableColumn id="11" xr3:uid="{0FC4AB8C-BBEF-4B92-BF38-4F39DBA4EE46}" name="%  SITE" dataDxfId="208" dataCellStyle="Porcentagem">
      <calculatedColumnFormula>VLOOKUP(L4,'[1]POS_EAD_0112 a 3101_CAMP. REG)'!$F$5:$L$231,7,FALSE)</calculatedColumnFormula>
    </tableColumn>
    <tableColumn id="3" xr3:uid="{6A182B06-E987-48CD-B136-A8404CF61EE5}" name="$ SITE" dataDxfId="207">
      <calculatedColumnFormula>VLOOKUP(L4,'[1]POS_EAD_0112 a 3101_CAMP. REG)'!$F$5:$M$231,8,FALSE)</calculatedColumnFormula>
    </tableColumn>
    <tableColumn id="5" xr3:uid="{6A7302DD-F8C7-419C-9B2D-02732D1EF264}" name="%  SGP" dataDxfId="206" dataCellStyle="Porcentagem">
      <calculatedColumnFormula>VLOOKUP(L4,'[1]POS_EAD_0112 a 3101_CAMP. REG)'!$F$5:$P$231,11,FALSE)</calculatedColumnFormula>
    </tableColumn>
    <tableColumn id="6" xr3:uid="{DDD4228B-8E43-43DF-9290-1C254FF17DA5}" name="$ SGP" dataDxfId="205" dataCellStyle="Porcentagem">
      <calculatedColumnFormula>VLOOKUP(L4,'[1]POS_EAD_0112 a 3101_CAMP. REG)'!$F$5:$Q$231,12,FALSE)</calculatedColumnFormula>
    </tableColumn>
  </tableColumns>
  <tableStyleInfo name="TableStyleLight11" showFirstColumn="0" showLastColumn="0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5120C7-D318-4146-A109-F7118D8A66B6}" name="Tabela142011" displayName="Tabela142011" ref="CP3:CQ115" totalsRowShown="0" headerRowDxfId="37" dataDxfId="35" headerRowBorderDxfId="36" tableBorderDxfId="34">
  <autoFilter ref="CP3:CQ115" xr:uid="{095120C7-D318-4146-A109-F7118D8A66B6}"/>
  <sortState xmlns:xlrd2="http://schemas.microsoft.com/office/spreadsheetml/2017/richdata2" ref="CP4:CQ115">
    <sortCondition ref="CQ4:CQ115"/>
  </sortState>
  <tableColumns count="2">
    <tableColumn id="1" xr3:uid="{C366C7CB-CD93-4536-87D2-4542DFE6E5C6}" name="SERIE" dataDxfId="33" dataCellStyle="Porcentagem"/>
    <tableColumn id="2" xr3:uid="{7E30EC23-1E5D-4493-AE35-7C5E394E1F16}" name="Curso" dataDxfId="32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44CBCA-CADF-4D13-8385-449062E873C1}" name="UNAMA" displayName="UNAMA" ref="W3:AF225" headerRowDxfId="204" dataDxfId="203" totalsRowDxfId="202">
  <autoFilter ref="W3:AF225" xr:uid="{9544CBCA-CADF-4D13-8385-449062E873C1}"/>
  <tableColumns count="10">
    <tableColumn id="1" xr3:uid="{7ACD99F8-CAA5-4202-8072-847E1781CA98}" name="CURSO" totalsRowLabel="Total" dataDxfId="201" totalsRowDxfId="200"/>
    <tableColumn id="9" xr3:uid="{0BCC76A1-703C-4D01-A3BC-7A20FD7470C0}" name="OFERTA" dataDxfId="199" totalsRowDxfId="198"/>
    <tableColumn id="10" xr3:uid="{4C1EF20A-B931-46D9-A035-1ED4C5ADC3D9}" name="ÁREA" dataDxfId="197" totalsRowDxfId="196">
      <calculatedColumnFormula>VLOOKUP(W4,'[1]POS_EAD_0112 a 3101_CAMP. REG)'!$F$231:$G$461,2,FALSE)</calculatedColumnFormula>
    </tableColumn>
    <tableColumn id="8" xr3:uid="{E73E3C17-78DA-4323-A981-1AE1E6D9DED7}" name="Duração Meses" dataDxfId="195" totalsRowDxfId="194">
      <calculatedColumnFormula>VLOOKUP(W4,'[1]POS_EAD_0112 a 3101_CAMP. REG)'!$F$231:$H$461,3,FALSE)</calculatedColumnFormula>
    </tableColumn>
    <tableColumn id="7" xr3:uid="{139AEF9C-FD87-4D53-8BE0-A8EF4D135907}" name="Nº Parcelas" dataDxfId="193" totalsRowDxfId="192">
      <calculatedColumnFormula>VLOOKUP(W4,'[1]POS_EAD_0112 a 3101_CAMP. REG)'!$F$231:$I$461,4,FALSE)</calculatedColumnFormula>
    </tableColumn>
    <tableColumn id="2" xr3:uid="{F07E7A43-566F-4634-BCB2-22C2359F8C09}" name="$ NORMAL" dataDxfId="191" totalsRowDxfId="190">
      <calculatedColumnFormula>VLOOKUP(W4,'[1]POS_EAD_0112 a 3101_CAMP. REG)'!$F$231:$J$461,5,FALSE)</calculatedColumnFormula>
    </tableColumn>
    <tableColumn id="3" xr3:uid="{007516EA-C24C-4AAA-9775-3E3AF4C0E383}" name="%  SITE" dataDxfId="189" totalsRowDxfId="188" dataCellStyle="Porcentagem">
      <calculatedColumnFormula>VLOOKUP(W4,'[1]POS_EAD_0112 a 3101_CAMP. REG)'!$F$231:$L$461,7,FALSE)</calculatedColumnFormula>
    </tableColumn>
    <tableColumn id="4" xr3:uid="{64EB888F-107F-47C6-AFA5-B193C9CD9479}" name="$ SITE" dataDxfId="187" totalsRowDxfId="186" dataCellStyle="Porcentagem">
      <calculatedColumnFormula>VLOOKUP(W4,'[1]POS_EAD_0112 a 3101_CAMP. REG)'!$F$231:$M$461,8,FALSE)</calculatedColumnFormula>
    </tableColumn>
    <tableColumn id="5" xr3:uid="{47162EBE-7541-41C2-A0F7-2AB47CD1A9CD}" name="%  SGP" dataDxfId="185" totalsRowDxfId="184" dataCellStyle="Porcentagem">
      <calculatedColumnFormula>VLOOKUP(W4,'[1]POS_EAD_0112 a 3101_CAMP. REG)'!$F$231:$P$461,11,FALSE)</calculatedColumnFormula>
    </tableColumn>
    <tableColumn id="6" xr3:uid="{87897970-6D93-42B4-AE47-A9B49FAFC7A7}" name="$ SGP" totalsRowFunction="sum" dataDxfId="183" totalsRowDxfId="182" dataCellStyle="Porcentagem">
      <calculatedColumnFormula>VLOOKUP(W4,'[1]POS_EAD_0112 a 3101_CAMP. REG)'!$F$231:$Q$461,12,FALSE)</calculatedColumnFormula>
    </tableColumn>
  </tableColumns>
  <tableStyleInfo name="TableStyleLight12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114EAF-5CD6-4C03-B20C-9B1E4E88F500}" name="UNG" displayName="UNG" ref="AH3:AQ225" totalsRowShown="0" headerRowDxfId="181" dataDxfId="179" headerRowBorderDxfId="180" tableBorderDxfId="178">
  <autoFilter ref="AH3:AQ225" xr:uid="{AA114EAF-5CD6-4C03-B20C-9B1E4E88F500}"/>
  <tableColumns count="10">
    <tableColumn id="1" xr3:uid="{4C14B2C7-6D60-43CA-ADD6-92DF91F887CC}" name="CURSO" dataDxfId="177"/>
    <tableColumn id="9" xr3:uid="{0F530BD4-8975-42CD-A4B3-FEC4AF01C732}" name="OFERTA" dataDxfId="176"/>
    <tableColumn id="10" xr3:uid="{C7F740E2-F60D-4CFE-853C-D8A54712E951}" name="ÁREA" dataDxfId="175">
      <calculatedColumnFormula>VLOOKUP(UNG[[#This Row],[CURSO]],'[1]POS_EAD_0112 a 3101_CAMP. REG)'!$F$463:$G$688,2,FALSE)</calculatedColumnFormula>
    </tableColumn>
    <tableColumn id="8" xr3:uid="{0823107F-5E39-4393-8B2A-8C1C0770F61F}" name="Duração Meses" dataDxfId="174">
      <calculatedColumnFormula>VLOOKUP(UNG[[#This Row],[CURSO]],'[1]POS_EAD_0112 a 3101_CAMP. REG)'!$F$463:$H$688,3,FALSE)</calculatedColumnFormula>
    </tableColumn>
    <tableColumn id="7" xr3:uid="{2CE9A43E-2EAD-48A7-924E-999612FA5148}" name="Nº Parcelas" dataDxfId="173">
      <calculatedColumnFormula>VLOOKUP(UNG[[#This Row],[CURSO]],'[1]POS_EAD_0112 a 3101_CAMP. REG)'!$F$463:$I$688,4,FALSE)</calculatedColumnFormula>
    </tableColumn>
    <tableColumn id="2" xr3:uid="{5D165CE6-0B20-4089-8AB3-6C504160B5EC}" name="$ NORMAL" dataDxfId="172" dataCellStyle="Porcentagem">
      <calculatedColumnFormula>VLOOKUP(UNG[[#This Row],[CURSO]],'[1]POS_EAD_0112 a 3101_CAMP. REG)'!$F$463:$J$688,5,FALSE)</calculatedColumnFormula>
    </tableColumn>
    <tableColumn id="3" xr3:uid="{EBB85EA1-3DBB-4B58-A012-9F71F2522A52}" name="%  SITE" dataDxfId="171" dataCellStyle="Porcentagem">
      <calculatedColumnFormula>VLOOKUP(UNG[[#This Row],[CURSO]],'[1]POS_EAD_0112 a 3101_CAMP. REG)'!$F$463:$L$688,7,FALSE)</calculatedColumnFormula>
    </tableColumn>
    <tableColumn id="4" xr3:uid="{A3DADCDA-0511-4C71-B745-36162D3E5E5D}" name="$ SITE" dataDxfId="170" dataCellStyle="Porcentagem">
      <calculatedColumnFormula>VLOOKUP(UNG[[#This Row],[CURSO]],'[1]POS_EAD_0112 a 3101_CAMP. REG)'!$F$463:$M$688,8,FALSE)</calculatedColumnFormula>
    </tableColumn>
    <tableColumn id="5" xr3:uid="{A85567FA-5113-4534-A244-A72AAB253EC4}" name="%  SGP" dataDxfId="169" dataCellStyle="Porcentagem">
      <calculatedColumnFormula>VLOOKUP(UNG[[#This Row],[CURSO]],'[1]POS_EAD_0112 a 3101_CAMP. REG)'!$F$463:$P$688,11,FALSE)</calculatedColumnFormula>
    </tableColumn>
    <tableColumn id="6" xr3:uid="{369AB309-627F-43A3-A107-54CB4CD4E20B}" name="$ SGP" dataDxfId="168" dataCellStyle="Porcentagem">
      <calculatedColumnFormula>VLOOKUP(UNG[[#This Row],[CURSO]],'[1]POS_EAD_0112 a 3101_CAMP. REG)'!$F$463:$Q$688,12,FALSE)</calculatedColumnFormula>
    </tableColumn>
  </tableColumns>
  <tableStyleInfo name="TableStyleLight10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33107C-8A84-4B49-B9AB-C2C4380C44AC}" name="UNINASSAU" displayName="UNINASSAU" ref="AS3:BB225" totalsRowShown="0" headerRowDxfId="167" dataDxfId="165" headerRowBorderDxfId="166" tableBorderDxfId="164" dataCellStyle="Porcentagem">
  <autoFilter ref="AS3:BB225" xr:uid="{9933107C-8A84-4B49-B9AB-C2C4380C44AC}"/>
  <tableColumns count="10">
    <tableColumn id="1" xr3:uid="{AF1E77B9-5A46-4976-92FC-A77CC967F8F4}" name="CURSO" dataDxfId="163"/>
    <tableColumn id="9" xr3:uid="{5CA05B50-7FBC-4B81-8A23-862184A2DD1F}" name="OFERTA" dataDxfId="162"/>
    <tableColumn id="10" xr3:uid="{CF0428B2-6489-43EC-B0BE-413CFE763531}" name="ÁREA" dataDxfId="161">
      <calculatedColumnFormula>VLOOKUP(UNINASSAU[[#This Row],[CURSO]],'[1]POS_EAD_0112 a 3101_CAMP. REG)'!$F$690:$G$915,2,FALSE)</calculatedColumnFormula>
    </tableColumn>
    <tableColumn id="8" xr3:uid="{E09FBFED-872F-47D3-B9B9-2071AFD736DE}" name="Duração Meses" dataDxfId="160">
      <calculatedColumnFormula>VLOOKUP(UNINASSAU[[#This Row],[CURSO]],'[1]POS_EAD_0112 a 3101_CAMP. REG)'!$F$690:$H$915,3,FALSE)</calculatedColumnFormula>
    </tableColumn>
    <tableColumn id="7" xr3:uid="{6A8EBC65-7F93-472F-BBC3-B9AF9250653B}" name="Nº Parcelas" dataDxfId="159">
      <calculatedColumnFormula>VLOOKUP(UNINASSAU[[#This Row],[CURSO]],'[1]POS_EAD_0112 a 3101_CAMP. REG)'!$F$690:$I$915,4,FALSE)</calculatedColumnFormula>
    </tableColumn>
    <tableColumn id="2" xr3:uid="{FE7F7508-84D7-46BA-BD40-1452BF4F3B27}" name="$ NORMAL" dataDxfId="158" dataCellStyle="Porcentagem">
      <calculatedColumnFormula>VLOOKUP(UNINASSAU[[#This Row],[CURSO]],'[1]POS_EAD_0112 a 3101_CAMP. REG)'!$F$690:$J$915,5,FALSE)</calculatedColumnFormula>
    </tableColumn>
    <tableColumn id="3" xr3:uid="{06FB6F59-BA36-413E-B3D0-8C27074F86E2}" name="%  SITE" dataDxfId="157" dataCellStyle="Porcentagem">
      <calculatedColumnFormula>VLOOKUP(UNINASSAU[[#This Row],[CURSO]],'[1]POS_EAD_0112 a 3101_CAMP. REG)'!$F$690:$L$915,7,FALSE)</calculatedColumnFormula>
    </tableColumn>
    <tableColumn id="4" xr3:uid="{F2FB8719-728D-4957-89A3-5DFC03AFAF60}" name="$ SITE" dataDxfId="156" dataCellStyle="Porcentagem">
      <calculatedColumnFormula>VLOOKUP(UNINASSAU[[#This Row],[CURSO]],'[1]POS_EAD_0112 a 3101_CAMP. REG)'!$F$690:$N$915,8,FALSE)</calculatedColumnFormula>
    </tableColumn>
    <tableColumn id="5" xr3:uid="{3AB07B43-4EE1-4542-8112-9F5CEBF7CEAB}" name="%  SGP" dataDxfId="155" dataCellStyle="Porcentagem">
      <calculatedColumnFormula>VLOOKUP(UNINASSAU[[#This Row],[CURSO]],'[1]POS_EAD_0112 a 3101_CAMP. REG)'!$F$690:$P$915,11,FALSE)</calculatedColumnFormula>
    </tableColumn>
    <tableColumn id="6" xr3:uid="{FC66BA42-415B-4F6E-B398-84C71B6A060E}" name="$ SGP" dataDxfId="154" dataCellStyle="Porcentagem">
      <calculatedColumnFormula>VLOOKUP(UNINASSAU[[#This Row],[CURSO]],'[1]POS_EAD_0112 a 3101_CAMP. REG)'!$F$690:$Q$915,12,FALSE)</calculatedColumnFormula>
    </tableColumn>
  </tableColumns>
  <tableStyleInfo name="TableStyleLight13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53F9E3-A3E8-49B4-944E-94B10B2A53F6}" name="Tabela1420" displayName="Tabela1420" ref="BD3:BF225" totalsRowShown="0" headerRowDxfId="153" dataDxfId="151" headerRowBorderDxfId="152" tableBorderDxfId="150">
  <autoFilter ref="BD3:BF225" xr:uid="{AC53F9E3-A3E8-49B4-944E-94B10B2A53F6}"/>
  <tableColumns count="3">
    <tableColumn id="1" xr3:uid="{C4092B99-D12B-4C43-99B8-CE9D18878047}" name="SERIE" dataDxfId="149" dataCellStyle="Porcentagem"/>
    <tableColumn id="2" xr3:uid="{A8890431-9D0B-44EB-82BD-448064137382}" name="Curso" dataDxfId="148"/>
    <tableColumn id="3" xr3:uid="{07A40DDD-2552-4968-A6DE-E08BA1E2BC49}" name="OFERTA" dataDxfId="147"/>
  </tableColumns>
  <tableStyleInfo name="TableStyleLight9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732CD7-085A-4178-8207-EADE6AC4A483}" name="UNIFAEL." displayName="UNIFAEL." ref="N3:AF115" totalsRowShown="0" headerRowDxfId="146" dataDxfId="145" tableBorderDxfId="144">
  <autoFilter ref="N3:AF115" xr:uid="{80732CD7-085A-4178-8207-EADE6AC4A483}"/>
  <tableColumns count="19">
    <tableColumn id="1" xr3:uid="{21152DD3-1AEE-4D68-8672-4895544AAD97}" name="CURSO" dataDxfId="143"/>
    <tableColumn id="10" xr3:uid="{EB1275F6-62EE-42FA-8C4F-F4E035625E66}" name="OFERTA" dataDxfId="142"/>
    <tableColumn id="12" xr3:uid="{1427703F-4A46-4D64-B0F6-26CBD0243B2D}" name="ÁREA" dataDxfId="141">
      <calculatedColumnFormula>VLOOKUP(UNIFAEL.[[#This Row],[CURSO]],'[1]POS_VIVO_0112 a 3101_CAMP. REG)'!$F$5:$G$113,2,FALSE)</calculatedColumnFormula>
    </tableColumn>
    <tableColumn id="9" xr3:uid="{0F8A6D23-3723-4667-8683-26B58A7F74E4}" name="Duração Meses" dataDxfId="140">
      <calculatedColumnFormula>VLOOKUP(UNIFAEL.[[#This Row],[CURSO]],'[1]POS_VIVO_0112 a 3101_CAMP. REG)'!$F$5:$H$113,3,FALSE)</calculatedColumnFormula>
    </tableColumn>
    <tableColumn id="8" xr3:uid="{AFBE846A-4842-4B07-B20A-86D06A4ED986}" name="Nº Parcelas" dataDxfId="139">
      <calculatedColumnFormula>VLOOKUP(UNIFAEL.[[#This Row],[CURSO]],'[1]POS_VIVO_0112 a 3101_CAMP. REG)'!$F$5:$I$113,4,FALSE)</calculatedColumnFormula>
    </tableColumn>
    <tableColumn id="2" xr3:uid="{B01AD455-0ECA-4098-96C3-2CB5F1FD044E}" name="$ NORMAL" dataDxfId="138">
      <calculatedColumnFormula>VLOOKUP(UNIFAEL.[[#This Row],[CURSO]],'[1]POS_VIVO_0112 a 3101_CAMP. REG)'!$F$5:$J$113,5,FALSE)</calculatedColumnFormula>
    </tableColumn>
    <tableColumn id="11" xr3:uid="{80A098EA-87E9-492F-BB5C-2F16A5D66765}" name="%  SITE" dataDxfId="137" dataCellStyle="Porcentagem">
      <calculatedColumnFormula>VLOOKUP(UNIFAEL.[[#This Row],[CURSO]],'[1]POS_VIVO_0112 a 3101_CAMP. REG)'!$F$5:$L$113,7,FALSE)</calculatedColumnFormula>
    </tableColumn>
    <tableColumn id="3" xr3:uid="{2A2B8124-F077-4C8D-B849-3AA65B8843D0}" name="$ SITE" dataDxfId="136">
      <calculatedColumnFormula>VLOOKUP(UNIFAEL.[[#This Row],[CURSO]],'[1]POS_VIVO_0112 a 3101_CAMP. REG)'!$F$5:$M$113,8,FALSE)</calculatedColumnFormula>
    </tableColumn>
    <tableColumn id="5" xr3:uid="{EFC52799-E338-41CC-AEDA-C45E6BD67E1C}" name="%  SGP" dataDxfId="135" dataCellStyle="Porcentagem">
      <calculatedColumnFormula>VLOOKUP(UNIFAEL.[[#This Row],[CURSO]],'[1]POS_VIVO_0112 a 3101_CAMP. REG)'!$F$5:$P$113,11,FALSE)</calculatedColumnFormula>
    </tableColumn>
    <tableColumn id="6" xr3:uid="{2925EFA7-E416-44EB-9A8B-37E4C5E21554}" name="$ SGP" dataDxfId="134" dataCellStyle="Porcentagem">
      <calculatedColumnFormula>VLOOKUP(UNIFAEL.[[#This Row],[CURSO]],'[1]POS_VIVO_0112 a 3101_CAMP. REG)'!$F$5:$Q$113,12,FALSE)</calculatedColumnFormula>
    </tableColumn>
    <tableColumn id="18" xr3:uid="{01645D46-6BFF-45C7-A3B7-EEA3FC6598D9}" name="Nº Parcelas normal2" dataDxfId="133" dataCellStyle="Porcentagem">
      <calculatedColumnFormula>UNIFAEL.[[#This Row],[Nº Parcelas]]</calculatedColumnFormula>
    </tableColumn>
    <tableColumn id="24" xr3:uid="{0F1BEFDC-76DA-4912-AFC9-F63050616E4B}" name="Nº Parcelas 2" dataDxfId="132" dataCellStyle="Porcentagem">
      <calculatedColumnFormula>UNIFAEL.[[#This Row],[Nº Parcelas normal2]]-1</calculatedColumnFormula>
    </tableColumn>
    <tableColumn id="17" xr3:uid="{BC1E9AF9-806D-4DB2-B8F4-D5FB57254CA0}" name="$ NORMAL 2" dataDxfId="131" dataCellStyle="Porcentagem">
      <calculatedColumnFormula>UNIFAEL.[[#This Row],[$ NORMAL]]</calculatedColumnFormula>
    </tableColumn>
    <tableColumn id="4" xr3:uid="{E266E1B9-F57E-4550-A519-1F4AF6F5EC89}" name="%  SITE 2" dataDxfId="130" dataCellStyle="Porcentagem">
      <calculatedColumnFormula>UNIFAEL.[[#This Row],[%  SITE]]</calculatedColumnFormula>
    </tableColumn>
    <tableColumn id="7" xr3:uid="{0DA4624B-97DF-466F-8626-46B22C8BF43C}" name="$ SITE 2" dataDxfId="129" dataCellStyle="Porcentagem">
      <calculatedColumnFormula>UNIFAEL.[[#This Row],[$ SITE]]</calculatedColumnFormula>
    </tableColumn>
    <tableColumn id="13" xr3:uid="{DF02B4D3-29C5-42BA-880C-BF569AF9FC95}" name="%  SGP2" dataDxfId="128" dataCellStyle="Porcentagem">
      <calculatedColumnFormula>UNIFAEL.[[#This Row],[%  SGP]]</calculatedColumnFormula>
    </tableColumn>
    <tableColumn id="14" xr3:uid="{D9DB95BC-7E45-4C4A-BC8F-D2AACAB57045}" name="$ SGP2" dataDxfId="127">
      <calculatedColumnFormula>UNIFAEL.[[#This Row],[$ SGP]]</calculatedColumnFormula>
    </tableColumn>
    <tableColumn id="22" xr3:uid="{804CC844-3B9F-4562-921D-1E1FB731F0E4}" name="PARCELA MATRICULA PAGA" dataDxfId="126" dataCellStyle="Porcentagem"/>
    <tableColumn id="23" xr3:uid="{33DF387A-F7E8-4FF5-958C-144E90C0BA61}" name="PARCELA MATRICULA NÃO PAGA2" dataDxfId="125" dataCellStyle="Porcentagem"/>
  </tableColumns>
  <tableStyleInfo name="TableStyleLight11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B5CCC1B-6D93-4891-938F-70568E8B401A}" name="UNAMA." displayName="UNAMA." ref="AH3:AZ115" headerRowDxfId="124" dataDxfId="123" totalsRowDxfId="122">
  <autoFilter ref="AH3:AZ115" xr:uid="{DB5CCC1B-6D93-4891-938F-70568E8B401A}"/>
  <tableColumns count="19">
    <tableColumn id="1" xr3:uid="{A17412BE-2025-492B-84C3-943AB163094C}" name="PARCELA MATRICULA NÃO PAGA" totalsRowLabel="Total" dataDxfId="121" totalsRowDxfId="120"/>
    <tableColumn id="9" xr3:uid="{2AF27BE7-2FA9-4695-A0E7-35C06999DDAA}" name="OFERTA" dataDxfId="119" totalsRowDxfId="118"/>
    <tableColumn id="10" xr3:uid="{6FE02B23-C36A-47E2-B112-CCB02457E6CE}" name="ÁREA" dataDxfId="117" totalsRowDxfId="116">
      <calculatedColumnFormula>VLOOKUP(UNAMA.[[#This Row],[PARCELA MATRICULA NÃO PAGA]],'[1]POS_VIVO_0112 a 3101_CAMP. REG)'!$F$115:$G$222,2,FALSE)</calculatedColumnFormula>
    </tableColumn>
    <tableColumn id="8" xr3:uid="{26638907-C809-49F0-A1A6-100274C6EB59}" name="Duração Meses" dataDxfId="115" totalsRowDxfId="114">
      <calculatedColumnFormula>VLOOKUP(UNAMA.[[#This Row],[PARCELA MATRICULA NÃO PAGA]],'[1]POS_VIVO_0112 a 3101_CAMP. REG)'!$F$115:$H$222,3,FALSE)</calculatedColumnFormula>
    </tableColumn>
    <tableColumn id="7" xr3:uid="{858F0604-E080-4554-9552-C4B8118FDAF0}" name="Nº Parcelas" dataDxfId="113" totalsRowDxfId="112">
      <calculatedColumnFormula>VLOOKUP(UNAMA.[[#This Row],[PARCELA MATRICULA NÃO PAGA]],'[1]POS_VIVO_0112 a 3101_CAMP. REG)'!$F$115:$I$222,4,FALSE)</calculatedColumnFormula>
    </tableColumn>
    <tableColumn id="2" xr3:uid="{3238FB4B-A86D-41F0-AFD7-C9CC0D159C9B}" name="$ NORMAL" dataDxfId="111" totalsRowDxfId="110">
      <calculatedColumnFormula>VLOOKUP(UNAMA.[[#This Row],[PARCELA MATRICULA NÃO PAGA]],'[1]POS_VIVO_0112 a 3101_CAMP. REG)'!$F$115:$J$222,5,FALSE)</calculatedColumnFormula>
    </tableColumn>
    <tableColumn id="3" xr3:uid="{31BEE4A2-440E-4DA2-B79A-34A773C812AE}" name="%  SITE" dataDxfId="109" totalsRowDxfId="108" dataCellStyle="Porcentagem">
      <calculatedColumnFormula>VLOOKUP(UNAMA.[[#This Row],[PARCELA MATRICULA NÃO PAGA]],'[1]POS_VIVO_0112 a 3101_CAMP. REG)'!$F$115:$L$222,7,FALSE)</calculatedColumnFormula>
    </tableColumn>
    <tableColumn id="4" xr3:uid="{8468374A-5A11-47E4-BFEE-98368B995502}" name="$ SITE" dataDxfId="107" totalsRowDxfId="106" dataCellStyle="Porcentagem">
      <calculatedColumnFormula>VLOOKUP(UNAMA.[[#This Row],[PARCELA MATRICULA NÃO PAGA]],'[1]POS_VIVO_0112 a 3101_CAMP. REG)'!$F$115:$M$222,8,FALSE)</calculatedColumnFormula>
    </tableColumn>
    <tableColumn id="5" xr3:uid="{0FA2019C-DB91-4AC3-BAF3-A77B5815CAC1}" name="%  SGP" dataDxfId="105" totalsRowDxfId="104" dataCellStyle="Porcentagem">
      <calculatedColumnFormula>VLOOKUP(UNAMA.[[#This Row],[PARCELA MATRICULA NÃO PAGA]],'[1]POS_VIVO_0112 a 3101_CAMP. REG)'!$F$115:$P$222,11,FALSE)</calculatedColumnFormula>
    </tableColumn>
    <tableColumn id="6" xr3:uid="{D617E0A3-31D4-45CC-B8F3-7532BD9725F5}" name="$ SGP" totalsRowFunction="sum" dataDxfId="103" totalsRowDxfId="102" dataCellStyle="Porcentagem">
      <calculatedColumnFormula>VLOOKUP(UNAMA.[[#This Row],[PARCELA MATRICULA NÃO PAGA]],'[1]POS_VIVO_0112 a 3101_CAMP. REG)'!$F$115:$Q$222,12,FALSE)</calculatedColumnFormula>
    </tableColumn>
    <tableColumn id="11" xr3:uid="{A46AA60C-3660-461E-9E8C-7944346DF5F9}" name="Nº Parcelas normal2" dataDxfId="101" totalsRowDxfId="100">
      <calculatedColumnFormula>UNAMA.[[#This Row],[Nº Parcelas]]</calculatedColumnFormula>
    </tableColumn>
    <tableColumn id="12" xr3:uid="{5C810ECB-847E-4D9C-A94A-18C8338CC54A}" name="Nº Parcelas 22" dataDxfId="99" totalsRowDxfId="98">
      <calculatedColumnFormula>UNAMA.[[#This Row],[Nº Parcelas normal2]]-1</calculatedColumnFormula>
    </tableColumn>
    <tableColumn id="13" xr3:uid="{2443CAE2-3376-40B5-8176-57B48F6317A1}" name="$ NORMAL 2" dataDxfId="97" totalsRowDxfId="96">
      <calculatedColumnFormula>UNAMA.[[#This Row],[$ NORMAL]]</calculatedColumnFormula>
    </tableColumn>
    <tableColumn id="14" xr3:uid="{CCAC0074-5914-4F04-9B37-0DBC0D06DE36}" name="%  SITE 2" dataDxfId="95" totalsRowDxfId="94" dataCellStyle="Porcentagem">
      <calculatedColumnFormula>UNAMA.[[#This Row],[%  SITE]]</calculatedColumnFormula>
    </tableColumn>
    <tableColumn id="15" xr3:uid="{1CDBC505-90EB-4F34-B6F5-168B29B690BD}" name="$ SITE 2" dataDxfId="93" totalsRowDxfId="92">
      <calculatedColumnFormula>UNAMA.[[#This Row],[$ SITE]]</calculatedColumnFormula>
    </tableColumn>
    <tableColumn id="16" xr3:uid="{610E6A88-8378-4B80-A464-E537B9603D1B}" name="%  SGP2" dataDxfId="91" totalsRowDxfId="90" dataCellStyle="Porcentagem">
      <calculatedColumnFormula>UNAMA.[[#This Row],[%  SGP]]</calculatedColumnFormula>
    </tableColumn>
    <tableColumn id="17" xr3:uid="{D7E46044-2048-40CB-B7B4-EA743B48F2E0}" name="$ SGP2" dataDxfId="89" totalsRowDxfId="88">
      <calculatedColumnFormula>UNAMA.[[#This Row],[$ SGP]]</calculatedColumnFormula>
    </tableColumn>
    <tableColumn id="18" xr3:uid="{FA656C58-3233-4448-AAF9-F06CD9DD7D24}" name="PARCELA MATRICULA PAGA" dataDxfId="87" totalsRowDxfId="86"/>
    <tableColumn id="19" xr3:uid="{97AFF82D-C218-44D7-8584-A21C0EBA0C13}" name="PARCELA MATRICULA NÃO PAGA2" dataDxfId="85" totalsRowDxfId="84"/>
  </tableColumns>
  <tableStyleInfo name="TableStyleLight12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E563F2-29CD-4415-98A4-D0F156E2D480}" name="UNG." displayName="UNG." ref="BB3:BT115" totalsRowShown="0" headerRowDxfId="83" dataDxfId="81" headerRowBorderDxfId="82" tableBorderDxfId="80">
  <autoFilter ref="BB3:BT115" xr:uid="{36E563F2-29CD-4415-98A4-D0F156E2D480}"/>
  <tableColumns count="19">
    <tableColumn id="1" xr3:uid="{2F12DA88-369F-46E4-891C-B2E34A3F6FB7}" name="CURSO" dataDxfId="79"/>
    <tableColumn id="9" xr3:uid="{D7DDEC71-D015-4344-A252-E71782D5EFA8}" name="OFERTA" dataDxfId="78"/>
    <tableColumn id="10" xr3:uid="{1FD6E533-578B-4A6D-8E31-15861B38101A}" name="ÁREA" dataDxfId="77">
      <calculatedColumnFormula>VLOOKUP(UNG.[[#This Row],[CURSO]],'[1]POS_VIVO_0112 a 3101_CAMP. REG)'!$F$224:$G$331,2,FALSE)</calculatedColumnFormula>
    </tableColumn>
    <tableColumn id="8" xr3:uid="{F370FBE5-A9F6-4D18-83D6-BE770706BD77}" name="Duração Meses" dataDxfId="76">
      <calculatedColumnFormula>VLOOKUP(UNG.[[#This Row],[CURSO]],'[1]POS_VIVO_0112 a 3101_CAMP. REG)'!$F$224:$H$331,3,FALSE)</calculatedColumnFormula>
    </tableColumn>
    <tableColumn id="7" xr3:uid="{A3A2947C-BAE0-48FA-9329-424D6DC4ACBB}" name="Nº Parcelas" dataDxfId="75">
      <calculatedColumnFormula>VLOOKUP(UNG.[[#This Row],[CURSO]],'[1]POS_VIVO_0112 a 3101_CAMP. REG)'!$F$224:$I$331,4,FALSE)</calculatedColumnFormula>
    </tableColumn>
    <tableColumn id="2" xr3:uid="{22638B32-FAF8-4D43-954B-DD2BF917CEEE}" name="$ NORMAL" dataDxfId="74" dataCellStyle="Porcentagem">
      <calculatedColumnFormula>VLOOKUP(UNG.[[#This Row],[CURSO]],'[1]POS_VIVO_0112 a 3101_CAMP. REG)'!$F$224:$J$331,5,FALSE)</calculatedColumnFormula>
    </tableColumn>
    <tableColumn id="3" xr3:uid="{39A52820-249B-4833-92BD-94B5E49BE0F1}" name="%  SITE" dataDxfId="73" dataCellStyle="Porcentagem">
      <calculatedColumnFormula>VLOOKUP(UNG.[[#This Row],[CURSO]],'[1]POS_VIVO_0112 a 3101_CAMP. REG)'!$F$224:$L$331,7,FALSE)</calculatedColumnFormula>
    </tableColumn>
    <tableColumn id="4" xr3:uid="{1A9EB1C5-F2F8-4D66-90CF-5B11EEEE2524}" name="$ SITE" dataDxfId="72" dataCellStyle="Porcentagem">
      <calculatedColumnFormula>VLOOKUP(UNG.[[#This Row],[CURSO]],'[1]POS_VIVO_0112 a 3101_CAMP. REG)'!$F$224:$M$331,8,FALSE)</calculatedColumnFormula>
    </tableColumn>
    <tableColumn id="5" xr3:uid="{BCA1C1DD-86D9-419F-BC39-9073A8DB25B7}" name="%  SGP" dataDxfId="71" dataCellStyle="Porcentagem">
      <calculatedColumnFormula>VLOOKUP(UNG.[[#This Row],[CURSO]],'[1]POS_VIVO_0112 a 3101_CAMP. REG)'!$F$224:$P$331,11,FALSE)</calculatedColumnFormula>
    </tableColumn>
    <tableColumn id="6" xr3:uid="{27666F46-E207-446E-BF49-E54505C1B301}" name="$ SGP" dataDxfId="70" dataCellStyle="Porcentagem">
      <calculatedColumnFormula>VLOOKUP(UNG.[[#This Row],[CURSO]],'[1]POS_VIVO_0112 a 3101_CAMP. REG)'!$F$224:$Q$331,12,FALSE)</calculatedColumnFormula>
    </tableColumn>
    <tableColumn id="11" xr3:uid="{F6F79432-AE56-4548-B97D-4E29B7B4BFAE}" name="Nº Parcelas normal2" dataDxfId="69">
      <calculatedColumnFormula>UNG.[[#This Row],[Nº Parcelas]]</calculatedColumnFormula>
    </tableColumn>
    <tableColumn id="12" xr3:uid="{4CE89CFD-146D-42A0-A05D-A50E2BE1DD1C}" name="Nº Parcelas 22" dataDxfId="68">
      <calculatedColumnFormula>UNG.[[#This Row],[Nº Parcelas normal2]]-1</calculatedColumnFormula>
    </tableColumn>
    <tableColumn id="13" xr3:uid="{0DA8997A-3078-4A06-B597-06E9D79B1961}" name="$ NORMAL 2" dataDxfId="67">
      <calculatedColumnFormula>UNG.[[#This Row],[$ NORMAL]]</calculatedColumnFormula>
    </tableColumn>
    <tableColumn id="14" xr3:uid="{A16F6A26-29E7-49BA-9A7F-CA8A00B1AAA1}" name="%  SITE 2" dataDxfId="66" dataCellStyle="Porcentagem">
      <calculatedColumnFormula>UNG.[[#This Row],[%  SITE]]</calculatedColumnFormula>
    </tableColumn>
    <tableColumn id="15" xr3:uid="{1AAA65E9-77BF-4F9C-9793-580BF5FD9984}" name="$ SITE 2" dataDxfId="65">
      <calculatedColumnFormula>UNG.[[#This Row],[$ SITE]]</calculatedColumnFormula>
    </tableColumn>
    <tableColumn id="16" xr3:uid="{3D8C615A-AA88-4079-BA90-3BF42F28DB1B}" name="%  SGP2" dataDxfId="64" dataCellStyle="Porcentagem">
      <calculatedColumnFormula>UNG.[[#This Row],[%  SGP]]</calculatedColumnFormula>
    </tableColumn>
    <tableColumn id="17" xr3:uid="{C562D756-9E5D-4834-8B16-1F8C0B9E35A1}" name="$ SGP2" dataDxfId="63">
      <calculatedColumnFormula>UNG.[[#This Row],[$ SGP]]</calculatedColumnFormula>
    </tableColumn>
    <tableColumn id="18" xr3:uid="{992A70D0-DEA0-4C4C-897E-404E13C67C67}" name="PARCELA MATRICULA PAGA" dataDxfId="62"/>
    <tableColumn id="19" xr3:uid="{102132B4-5ABB-4C43-BA33-31BF6AE85006}" name="PARCELA MATRICULA NÃO PAGA2" dataDxfId="61"/>
  </tableColumns>
  <tableStyleInfo name="TableStyleLight10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4F10F3-6E73-409C-B387-1F18F07898F8}" name="UNINASSAU." displayName="UNINASSAU." ref="BV3:CN115" totalsRowShown="0" headerRowDxfId="60" dataDxfId="58" headerRowBorderDxfId="59" tableBorderDxfId="57" dataCellStyle="Porcentagem">
  <autoFilter ref="BV3:CN115" xr:uid="{0E4F10F3-6E73-409C-B387-1F18F07898F8}"/>
  <tableColumns count="19">
    <tableColumn id="1" xr3:uid="{E6F89867-50D0-471B-BFC2-05E8FFB6680D}" name="CURSO" dataDxfId="56"/>
    <tableColumn id="9" xr3:uid="{893B430D-F623-4ED0-B229-E0933523DCBB}" name="OFERTA" dataDxfId="55"/>
    <tableColumn id="10" xr3:uid="{5ACE66D4-8810-4A9B-93D5-20191FA1E420}" name="ÁREA" dataDxfId="54">
      <calculatedColumnFormula>VLOOKUP(UNINASSAU.[[#This Row],[CURSO]],'[1]POS_VIVO_0112 a 3101_CAMP. REG)'!$F$333:$G$447,2,FALSE)</calculatedColumnFormula>
    </tableColumn>
    <tableColumn id="8" xr3:uid="{DC88457D-7C26-45E1-B92C-646D574BB499}" name="Duração Meses" dataDxfId="53">
      <calculatedColumnFormula>VLOOKUP(UNINASSAU.[[#This Row],[CURSO]],'[1]POS_VIVO_0112 a 3101_CAMP. REG)'!$F$333:$H$447,3,FALSE)</calculatedColumnFormula>
    </tableColumn>
    <tableColumn id="7" xr3:uid="{9200741C-A43D-4EA1-BBC2-210CD086226E}" name="Nº Parcelas" dataDxfId="52">
      <calculatedColumnFormula>VLOOKUP(UNINASSAU.[[#This Row],[CURSO]],'[1]POS_VIVO_0112 a 3101_CAMP. REG)'!$F$333:$I$447,4,FALSE)</calculatedColumnFormula>
    </tableColumn>
    <tableColumn id="2" xr3:uid="{DAFC5929-F7F1-426D-81F7-E3F99069BDB7}" name="$ NORMAL" dataDxfId="51" dataCellStyle="Porcentagem">
      <calculatedColumnFormula>VLOOKUP(UNINASSAU.[[#This Row],[CURSO]],'[1]POS_VIVO_0112 a 3101_CAMP. REG)'!$F$333:$J$447,5,FALSE)</calculatedColumnFormula>
    </tableColumn>
    <tableColumn id="3" xr3:uid="{208D5CFB-B3E9-4ADD-AA45-41FE82218D3C}" name="%  SITE" dataDxfId="50" dataCellStyle="Porcentagem">
      <calculatedColumnFormula>VLOOKUP(UNINASSAU.[[#This Row],[CURSO]],'[1]POS_VIVO_0112 a 3101_CAMP. REG)'!$F$333:$L$447,7,FALSE)</calculatedColumnFormula>
    </tableColumn>
    <tableColumn id="4" xr3:uid="{65A1C6DA-82B0-4EE6-82C8-8527EE4D22C5}" name="$ SITE" dataDxfId="49" dataCellStyle="Porcentagem">
      <calculatedColumnFormula>VLOOKUP(UNINASSAU.[[#This Row],[CURSO]],'[1]POS_VIVO_0112 a 3101_CAMP. REG)'!$F$333:$M$447,8,FALSE)</calculatedColumnFormula>
    </tableColumn>
    <tableColumn id="5" xr3:uid="{1117B392-7570-42F6-B6E5-B1453E8F3031}" name="%  SGP" dataDxfId="48" dataCellStyle="Porcentagem">
      <calculatedColumnFormula>VLOOKUP(UNINASSAU.[[#This Row],[CURSO]],'[1]POS_VIVO_0112 a 3101_CAMP. REG)'!$F$333:$P$447,11,FALSE)</calculatedColumnFormula>
    </tableColumn>
    <tableColumn id="6" xr3:uid="{249ADE84-1CA4-4E6E-8075-E4D7E73D5555}" name="$ SGP" dataDxfId="47" dataCellStyle="Porcentagem">
      <calculatedColumnFormula>VLOOKUP(UNINASSAU.[[#This Row],[CURSO]],'[1]POS_VIVO_0112 a 3101_CAMP. REG)'!$F$333:$Q$447,12,FALSE)</calculatedColumnFormula>
    </tableColumn>
    <tableColumn id="11" xr3:uid="{0B5A3497-14B2-4EFB-A039-11C1472F393F}" name="Nº Parcelas normal2" dataDxfId="46" dataCellStyle="Porcentagem">
      <calculatedColumnFormula>UNINASSAU.[[#This Row],[Nº Parcelas]]</calculatedColumnFormula>
    </tableColumn>
    <tableColumn id="12" xr3:uid="{08FCF8E2-6E96-49CD-82CF-80C721657E9D}" name="Nº Parcelas 22" dataDxfId="45" dataCellStyle="Porcentagem">
      <calculatedColumnFormula>UNINASSAU.[[#This Row],[Nº Parcelas normal2]]-1</calculatedColumnFormula>
    </tableColumn>
    <tableColumn id="13" xr3:uid="{C3F0CB4F-658A-479D-9481-6D9CF270116D}" name="$ NORMAL 2" dataDxfId="44" dataCellStyle="Porcentagem">
      <calculatedColumnFormula>UNINASSAU.[[#This Row],[$ NORMAL]]</calculatedColumnFormula>
    </tableColumn>
    <tableColumn id="14" xr3:uid="{0882AE56-F9C2-44C1-8CAB-291488BA3A77}" name="%  SITE 2" dataDxfId="43" dataCellStyle="Porcentagem">
      <calculatedColumnFormula>UNINASSAU.[[#This Row],[%  SITE]]</calculatedColumnFormula>
    </tableColumn>
    <tableColumn id="15" xr3:uid="{340E02AE-AEB8-4FDE-B847-0141A0E50B3C}" name="$ SITE 2" dataDxfId="42" dataCellStyle="Porcentagem">
      <calculatedColumnFormula>UNINASSAU.[[#This Row],[$ SITE]]</calculatedColumnFormula>
    </tableColumn>
    <tableColumn id="16" xr3:uid="{388B68E5-A9BD-4A73-BE7C-D8E361382721}" name="%  SGP2" dataDxfId="41" dataCellStyle="Porcentagem">
      <calculatedColumnFormula>UNINASSAU.[[#This Row],[%  SGP]]</calculatedColumnFormula>
    </tableColumn>
    <tableColumn id="17" xr3:uid="{A13AA1D5-3988-45F1-8CC4-30892CB5BE8B}" name="$ SGP2" dataDxfId="40" dataCellStyle="Porcentagem">
      <calculatedColumnFormula>UNINASSAU.[[#This Row],[$ SGP]]</calculatedColumnFormula>
    </tableColumn>
    <tableColumn id="18" xr3:uid="{094EEB62-FE04-462E-BA28-BB9FFD804CC0}" name="PARCELA MATRICULA PAGA" dataDxfId="39" dataCellStyle="Porcentagem"/>
    <tableColumn id="19" xr3:uid="{B55B39D0-7B1C-414A-B4BD-3E1395AF7083}" name="PARCELA MATRICULA NÃO PAGA2" dataDxfId="38" dataCellStyle="Porcentagem"/>
  </tableColumns>
  <tableStyleInfo name="TableStyleLight13" showFirstColumn="0" showLastColumn="0" showRowStripes="1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ctrlProp" Target="../ctrlProps/ctrlProp1.xml"/><Relationship Id="rId7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2.xml"/><Relationship Id="rId9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ctrlProp" Target="../ctrlProps/ctrlProp3.xml"/><Relationship Id="rId7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ctrlProp" Target="../ctrlProps/ctrlProp4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4547-4A8F-4C87-B07F-80CFEB3D4EBC}">
  <sheetPr>
    <tabColor theme="1" tint="0.34998626667073579"/>
  </sheetPr>
  <dimension ref="A1:BT270"/>
  <sheetViews>
    <sheetView showGridLines="0" tabSelected="1" workbookViewId="0">
      <selection activeCell="BR6" sqref="BR6"/>
    </sheetView>
  </sheetViews>
  <sheetFormatPr defaultColWidth="9.140625" defaultRowHeight="15" x14ac:dyDescent="0.25"/>
  <cols>
    <col min="1" max="1" width="10.28515625" style="14" customWidth="1"/>
    <col min="2" max="2" width="1.42578125" customWidth="1"/>
    <col min="3" max="3" width="3.7109375" customWidth="1"/>
    <col min="4" max="4" width="21.7109375" customWidth="1"/>
    <col min="5" max="5" width="16.5703125" style="15" customWidth="1"/>
    <col min="6" max="6" width="21.140625" style="15" customWidth="1"/>
    <col min="7" max="7" width="33.7109375" customWidth="1"/>
    <col min="8" max="8" width="16.28515625" customWidth="1"/>
    <col min="9" max="9" width="5.42578125" customWidth="1"/>
    <col min="10" max="10" width="3.7109375" customWidth="1"/>
    <col min="11" max="11" width="2.85546875" style="67" customWidth="1"/>
    <col min="12" max="12" width="98" style="69" hidden="1" customWidth="1"/>
    <col min="13" max="14" width="12.28515625" style="69" hidden="1" customWidth="1"/>
    <col min="15" max="15" width="17.140625" style="69" hidden="1" customWidth="1"/>
    <col min="16" max="16" width="15.85546875" style="68" hidden="1" customWidth="1"/>
    <col min="17" max="17" width="14.85546875" style="71" hidden="1" customWidth="1"/>
    <col min="18" max="18" width="11.85546875" style="71" hidden="1" customWidth="1"/>
    <col min="19" max="19" width="10.85546875" style="71" hidden="1" customWidth="1"/>
    <col min="20" max="20" width="11.7109375" style="71" hidden="1" customWidth="1"/>
    <col min="21" max="21" width="10.7109375" style="71" hidden="1" customWidth="1"/>
    <col min="22" max="22" width="2.85546875" style="69" hidden="1" customWidth="1"/>
    <col min="23" max="23" width="43.7109375" style="69" hidden="1" customWidth="1"/>
    <col min="24" max="25" width="13.7109375" style="69" hidden="1" customWidth="1"/>
    <col min="26" max="26" width="17.140625" style="70" hidden="1" customWidth="1"/>
    <col min="27" max="27" width="13.5703125" style="70" hidden="1" customWidth="1"/>
    <col min="28" max="28" width="12.5703125" style="71" hidden="1" customWidth="1"/>
    <col min="29" max="29" width="11.85546875" style="72" hidden="1" customWidth="1"/>
    <col min="30" max="30" width="9.140625" style="73" hidden="1" customWidth="1"/>
    <col min="31" max="31" width="9.42578125" style="71" hidden="1" customWidth="1"/>
    <col min="32" max="32" width="9.140625" style="73" hidden="1" customWidth="1"/>
    <col min="33" max="33" width="4.7109375" style="74" hidden="1" customWidth="1"/>
    <col min="34" max="34" width="108" style="74" hidden="1" customWidth="1"/>
    <col min="35" max="36" width="13.7109375" style="72" hidden="1" customWidth="1"/>
    <col min="37" max="37" width="17.140625" style="75" hidden="1" customWidth="1"/>
    <col min="38" max="38" width="13.5703125" style="75" hidden="1" customWidth="1"/>
    <col min="39" max="39" width="14.85546875" style="73" hidden="1" customWidth="1"/>
    <col min="40" max="40" width="11.85546875" style="72" hidden="1" customWidth="1"/>
    <col min="41" max="41" width="10.85546875" style="73" hidden="1" customWidth="1"/>
    <col min="42" max="42" width="11.7109375" style="72" hidden="1" customWidth="1"/>
    <col min="43" max="43" width="10.7109375" style="73" hidden="1" customWidth="1"/>
    <col min="44" max="44" width="4.7109375" style="74" hidden="1" customWidth="1"/>
    <col min="45" max="45" width="98" style="74" hidden="1" customWidth="1"/>
    <col min="46" max="47" width="12.28515625" style="74" hidden="1" customWidth="1"/>
    <col min="48" max="48" width="23" style="72" hidden="1" customWidth="1"/>
    <col min="49" max="49" width="18.5703125" style="72" hidden="1" customWidth="1"/>
    <col min="50" max="50" width="12.5703125" style="73" hidden="1" customWidth="1"/>
    <col min="51" max="51" width="9.5703125" style="72" hidden="1" customWidth="1"/>
    <col min="52" max="52" width="10.85546875" style="73" hidden="1" customWidth="1"/>
    <col min="53" max="53" width="9.42578125" style="72" hidden="1" customWidth="1"/>
    <col min="54" max="55" width="10.7109375" style="73" hidden="1" customWidth="1"/>
    <col min="56" max="56" width="8.5703125" style="104" hidden="1" customWidth="1"/>
    <col min="57" max="57" width="108" style="69" hidden="1" customWidth="1"/>
    <col min="58" max="58" width="21.7109375" style="69" hidden="1" customWidth="1"/>
    <col min="59" max="59" width="18" style="54" hidden="1" customWidth="1"/>
    <col min="60" max="60" width="21.140625" style="53" hidden="1" customWidth="1"/>
    <col min="61" max="61" width="33.28515625" style="54" hidden="1" customWidth="1"/>
    <col min="62" max="68" width="9.140625" style="54" hidden="1" customWidth="1"/>
    <col min="69" max="72" width="9.140625" style="54" customWidth="1"/>
    <col min="73" max="16384" width="9.140625" style="2"/>
  </cols>
  <sheetData>
    <row r="1" spans="1:72" ht="37.5" x14ac:dyDescent="0.25">
      <c r="A1" s="174" t="s">
        <v>0</v>
      </c>
      <c r="B1" s="175"/>
      <c r="C1" s="175"/>
      <c r="D1" s="175"/>
      <c r="E1" s="175"/>
      <c r="F1" s="175"/>
      <c r="G1" s="175"/>
      <c r="H1" s="175"/>
      <c r="I1" s="176"/>
      <c r="J1" s="1"/>
      <c r="L1" s="68">
        <v>1</v>
      </c>
      <c r="M1" s="68">
        <v>2</v>
      </c>
      <c r="N1" s="68">
        <v>3</v>
      </c>
      <c r="O1" s="69">
        <v>4</v>
      </c>
      <c r="P1" s="68">
        <v>5</v>
      </c>
      <c r="Q1" s="68">
        <v>6</v>
      </c>
      <c r="R1" s="68">
        <v>7</v>
      </c>
      <c r="S1" s="68">
        <v>8</v>
      </c>
      <c r="T1" s="68">
        <v>9</v>
      </c>
      <c r="U1" s="68">
        <v>10</v>
      </c>
      <c r="BD1" s="76"/>
      <c r="BE1" s="77" t="s">
        <v>1</v>
      </c>
      <c r="BF1" s="78">
        <v>12</v>
      </c>
      <c r="BG1" s="56" t="str">
        <f>VLOOKUP(BF1,Tabela1420[[SERIE]:[Curso]],2,FALSE)</f>
        <v>ESPECIALIZAÇÃO EM ARQUITETURA DE CLOUD COMPUTING</v>
      </c>
      <c r="BH1" s="57"/>
      <c r="BI1" s="55" t="s">
        <v>1</v>
      </c>
      <c r="BJ1" s="56">
        <v>1</v>
      </c>
      <c r="BK1" s="56" t="str">
        <f>VLOOKUP(BJ1,BH4:BI7,2,FALSE)</f>
        <v>UNIFAEL</v>
      </c>
    </row>
    <row r="2" spans="1:72" s="4" customFormat="1" ht="20.25" x14ac:dyDescent="0.3">
      <c r="A2" s="177" t="s">
        <v>361</v>
      </c>
      <c r="B2" s="178"/>
      <c r="C2" s="178"/>
      <c r="D2" s="178"/>
      <c r="E2" s="178"/>
      <c r="F2" s="178"/>
      <c r="G2" s="178"/>
      <c r="H2" s="178"/>
      <c r="I2" s="179"/>
      <c r="J2" s="3"/>
      <c r="K2" s="79"/>
      <c r="L2" s="180" t="s">
        <v>2</v>
      </c>
      <c r="M2" s="180"/>
      <c r="N2" s="180"/>
      <c r="O2" s="180"/>
      <c r="P2" s="180"/>
      <c r="Q2" s="180"/>
      <c r="R2" s="180"/>
      <c r="S2" s="180"/>
      <c r="T2" s="180"/>
      <c r="U2" s="180"/>
      <c r="V2" s="81"/>
      <c r="W2" s="181" t="s">
        <v>3</v>
      </c>
      <c r="X2" s="181"/>
      <c r="Y2" s="181"/>
      <c r="Z2" s="181"/>
      <c r="AA2" s="181"/>
      <c r="AB2" s="181"/>
      <c r="AC2" s="181"/>
      <c r="AD2" s="181"/>
      <c r="AE2" s="181"/>
      <c r="AF2" s="181"/>
      <c r="AG2" s="83"/>
      <c r="AH2" s="171" t="s">
        <v>4</v>
      </c>
      <c r="AI2" s="171"/>
      <c r="AJ2" s="171"/>
      <c r="AK2" s="171"/>
      <c r="AL2" s="171"/>
      <c r="AM2" s="171"/>
      <c r="AN2" s="171"/>
      <c r="AO2" s="171"/>
      <c r="AP2" s="171"/>
      <c r="AQ2" s="171"/>
      <c r="AR2" s="83"/>
      <c r="AS2" s="171" t="s">
        <v>5</v>
      </c>
      <c r="AT2" s="171"/>
      <c r="AU2" s="171"/>
      <c r="AV2" s="171"/>
      <c r="AW2" s="171"/>
      <c r="AX2" s="171"/>
      <c r="AY2" s="171"/>
      <c r="AZ2" s="171"/>
      <c r="BA2" s="171"/>
      <c r="BB2" s="171"/>
      <c r="BC2" s="114"/>
      <c r="BD2" s="167" t="s">
        <v>6</v>
      </c>
      <c r="BE2" s="167"/>
      <c r="BF2" s="167"/>
      <c r="BG2" s="60"/>
      <c r="BH2" s="59"/>
      <c r="BI2" s="60"/>
      <c r="BJ2" s="60"/>
      <c r="BK2" s="60"/>
      <c r="BL2" s="58"/>
      <c r="BM2" s="58"/>
      <c r="BN2" s="58"/>
      <c r="BO2" s="58"/>
      <c r="BP2" s="58"/>
      <c r="BQ2" s="58"/>
      <c r="BR2" s="58"/>
      <c r="BS2" s="58"/>
      <c r="BT2" s="58"/>
    </row>
    <row r="3" spans="1:72" s="5" customFormat="1" ht="9.75" customHeight="1" x14ac:dyDescent="0.25">
      <c r="A3" s="46"/>
      <c r="B3" s="16"/>
      <c r="C3" s="17"/>
      <c r="D3" s="17"/>
      <c r="E3" s="18"/>
      <c r="F3" s="18"/>
      <c r="G3" s="17"/>
      <c r="H3" s="17"/>
      <c r="I3" s="19"/>
      <c r="J3" s="1"/>
      <c r="K3" s="85"/>
      <c r="L3" s="86" t="s">
        <v>7</v>
      </c>
      <c r="M3" s="86" t="s">
        <v>6</v>
      </c>
      <c r="N3" s="86" t="s">
        <v>8</v>
      </c>
      <c r="O3" s="86" t="s">
        <v>9</v>
      </c>
      <c r="P3" s="87" t="s">
        <v>10</v>
      </c>
      <c r="Q3" s="88" t="s">
        <v>11</v>
      </c>
      <c r="R3" s="87" t="s">
        <v>12</v>
      </c>
      <c r="S3" s="88" t="s">
        <v>13</v>
      </c>
      <c r="T3" s="87" t="s">
        <v>14</v>
      </c>
      <c r="U3" s="88" t="s">
        <v>15</v>
      </c>
      <c r="V3" s="86"/>
      <c r="W3" s="89" t="s">
        <v>7</v>
      </c>
      <c r="X3" s="89" t="s">
        <v>6</v>
      </c>
      <c r="Y3" s="89" t="s">
        <v>8</v>
      </c>
      <c r="Z3" s="90" t="s">
        <v>9</v>
      </c>
      <c r="AA3" s="90" t="s">
        <v>10</v>
      </c>
      <c r="AB3" s="88" t="s">
        <v>11</v>
      </c>
      <c r="AC3" s="91" t="s">
        <v>12</v>
      </c>
      <c r="AD3" s="88" t="s">
        <v>13</v>
      </c>
      <c r="AE3" s="87" t="s">
        <v>14</v>
      </c>
      <c r="AF3" s="88" t="s">
        <v>15</v>
      </c>
      <c r="AG3" s="115"/>
      <c r="AH3" s="86" t="s">
        <v>7</v>
      </c>
      <c r="AI3" s="87" t="s">
        <v>6</v>
      </c>
      <c r="AJ3" s="87" t="s">
        <v>8</v>
      </c>
      <c r="AK3" s="90" t="s">
        <v>9</v>
      </c>
      <c r="AL3" s="90" t="s">
        <v>10</v>
      </c>
      <c r="AM3" s="88" t="s">
        <v>11</v>
      </c>
      <c r="AN3" s="91" t="s">
        <v>12</v>
      </c>
      <c r="AO3" s="116" t="s">
        <v>13</v>
      </c>
      <c r="AP3" s="91" t="s">
        <v>14</v>
      </c>
      <c r="AQ3" s="116" t="s">
        <v>15</v>
      </c>
      <c r="AR3" s="115"/>
      <c r="AS3" s="86" t="s">
        <v>7</v>
      </c>
      <c r="AT3" s="86" t="s">
        <v>6</v>
      </c>
      <c r="AU3" s="86" t="s">
        <v>8</v>
      </c>
      <c r="AV3" s="87" t="s">
        <v>9</v>
      </c>
      <c r="AW3" s="87" t="s">
        <v>10</v>
      </c>
      <c r="AX3" s="88" t="s">
        <v>11</v>
      </c>
      <c r="AY3" s="91" t="s">
        <v>12</v>
      </c>
      <c r="AZ3" s="116" t="s">
        <v>13</v>
      </c>
      <c r="BA3" s="91" t="s">
        <v>14</v>
      </c>
      <c r="BB3" s="116" t="s">
        <v>15</v>
      </c>
      <c r="BC3" s="116"/>
      <c r="BD3" s="117" t="s">
        <v>16</v>
      </c>
      <c r="BE3" s="117" t="s">
        <v>17</v>
      </c>
      <c r="BF3" s="122" t="s">
        <v>6</v>
      </c>
      <c r="BG3" s="61"/>
      <c r="BH3" s="52"/>
      <c r="BI3" s="118" t="s">
        <v>18</v>
      </c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</row>
    <row r="4" spans="1:72" ht="24.75" customHeight="1" x14ac:dyDescent="0.25">
      <c r="A4" s="47"/>
      <c r="B4" s="16"/>
      <c r="C4" s="17"/>
      <c r="D4" s="172" t="s">
        <v>341</v>
      </c>
      <c r="E4" s="172"/>
      <c r="F4" s="172"/>
      <c r="G4" s="172"/>
      <c r="H4" s="172"/>
      <c r="I4" s="19"/>
      <c r="J4" s="6"/>
      <c r="L4" s="121" t="s">
        <v>77</v>
      </c>
      <c r="M4" s="69" t="s">
        <v>19</v>
      </c>
      <c r="N4" s="69" t="str">
        <f>VLOOKUP($L$4,'[1]POS_EAD_0112 a 3101_CAMP. REG)'!$F$5:$G$231,2,FALSE)</f>
        <v>Humanas</v>
      </c>
      <c r="O4" s="69">
        <f>VLOOKUP(L4,'[1]POS_EAD_0112 a 3101_CAMP. REG)'!$F$5:$H$231,3,FALSE)</f>
        <v>12</v>
      </c>
      <c r="P4" s="68">
        <f>VLOOKUP(L4,'[1]POS_EAD_0112 a 3101_CAMP. REG)'!$F$5:$I$231,4,FALSE)</f>
        <v>19</v>
      </c>
      <c r="Q4" s="73">
        <f>VLOOKUP(L4,'[1]POS_EAD_0112 a 3101_CAMP. REG)'!$F$5:$J$231,5,FALSE)</f>
        <v>184.28091221052631</v>
      </c>
      <c r="R4" s="124">
        <f>VLOOKUP(L4,'[1]POS_EAD_0112 a 3101_CAMP. REG)'!$F$5:$L$231,7,FALSE)</f>
        <v>0.45</v>
      </c>
      <c r="S4" s="73">
        <f>VLOOKUP(L4,'[1]POS_EAD_0112 a 3101_CAMP. REG)'!$F$5:$M$231,8,FALSE)</f>
        <v>91.22</v>
      </c>
      <c r="T4" s="124">
        <f>VLOOKUP(L4,'[1]POS_EAD_0112 a 3101_CAMP. REG)'!$F$5:$P$231,11,FALSE)</f>
        <v>0.5</v>
      </c>
      <c r="U4" s="73">
        <f>VLOOKUP(L4,'[1]POS_EAD_0112 a 3101_CAMP. REG)'!$F$5:$Q$231,12,FALSE)</f>
        <v>82.93</v>
      </c>
      <c r="W4" s="121" t="s">
        <v>77</v>
      </c>
      <c r="X4" s="69" t="s">
        <v>19</v>
      </c>
      <c r="Y4" s="69" t="str">
        <f>VLOOKUP(W4,'[1]POS_EAD_0112 a 3101_CAMP. REG)'!$F$231:$G$461,2,FALSE)</f>
        <v>Humanas</v>
      </c>
      <c r="Z4" s="68">
        <f>VLOOKUP(W4,'[1]POS_EAD_0112 a 3101_CAMP. REG)'!$F$231:$H$461,3,FALSE)</f>
        <v>12</v>
      </c>
      <c r="AA4" s="68">
        <f>VLOOKUP(W4,'[1]POS_EAD_0112 a 3101_CAMP. REG)'!$F$231:$I$461,4,FALSE)</f>
        <v>19</v>
      </c>
      <c r="AB4" s="73">
        <f>VLOOKUP(W4,'[1]POS_EAD_0112 a 3101_CAMP. REG)'!$F$231:$J$461,5,FALSE)</f>
        <v>207.609666</v>
      </c>
      <c r="AC4" s="124">
        <f>VLOOKUP(W4,'[1]POS_EAD_0112 a 3101_CAMP. REG)'!$F$231:$L$461,7,FALSE)</f>
        <v>0.45</v>
      </c>
      <c r="AD4" s="73">
        <f>VLOOKUP(W4,'[1]POS_EAD_0112 a 3101_CAMP. REG)'!$F$231:$M$461,8,FALSE)</f>
        <v>102.77</v>
      </c>
      <c r="AE4" s="124">
        <f>VLOOKUP(W4,'[1]POS_EAD_0112 a 3101_CAMP. REG)'!$F$231:$P$461,11,FALSE)</f>
        <v>0.5</v>
      </c>
      <c r="AF4" s="73">
        <f>VLOOKUP(W4,'[1]POS_EAD_0112 a 3101_CAMP. REG)'!$F$231:$Q$461,12,FALSE)</f>
        <v>93.42</v>
      </c>
      <c r="AH4" s="121" t="s">
        <v>77</v>
      </c>
      <c r="AI4" s="69" t="s">
        <v>19</v>
      </c>
      <c r="AJ4" s="68" t="str">
        <f>VLOOKUP(UNG[[#This Row],[CURSO]],'[1]POS_EAD_0112 a 3101_CAMP. REG)'!$F$463:$G$688,2,FALSE)</f>
        <v>Humanas</v>
      </c>
      <c r="AK4" s="68">
        <f>VLOOKUP(UNG[[#This Row],[CURSO]],'[1]POS_EAD_0112 a 3101_CAMP. REG)'!$F$463:$H$688,3,FALSE)</f>
        <v>12</v>
      </c>
      <c r="AL4" s="68">
        <f>VLOOKUP(UNG[[#This Row],[CURSO]],'[1]POS_EAD_0112 a 3101_CAMP. REG)'!$F$463:$I$688,4,FALSE)</f>
        <v>19</v>
      </c>
      <c r="AM4" s="71">
        <f>VLOOKUP(UNG[[#This Row],[CURSO]],'[1]POS_EAD_0112 a 3101_CAMP. REG)'!$F$463:$J$688,5,FALSE)</f>
        <v>184.28091221052631</v>
      </c>
      <c r="AN4" s="124">
        <f>VLOOKUP(UNG[[#This Row],[CURSO]],'[1]POS_EAD_0112 a 3101_CAMP. REG)'!$F$463:$L$688,7,FALSE)</f>
        <v>0.45</v>
      </c>
      <c r="AO4" s="71">
        <f>VLOOKUP(UNG[[#This Row],[CURSO]],'[1]POS_EAD_0112 a 3101_CAMP. REG)'!$F$463:$M$688,8,FALSE)</f>
        <v>91.22</v>
      </c>
      <c r="AP4" s="124">
        <f>VLOOKUP(UNG[[#This Row],[CURSO]],'[1]POS_EAD_0112 a 3101_CAMP. REG)'!$F$463:$P$688,11,FALSE)</f>
        <v>0.5</v>
      </c>
      <c r="AQ4" s="71">
        <f>VLOOKUP(UNG[[#This Row],[CURSO]],'[1]POS_EAD_0112 a 3101_CAMP. REG)'!$F$463:$Q$688,12,FALSE)</f>
        <v>82.93</v>
      </c>
      <c r="AS4" s="121" t="s">
        <v>77</v>
      </c>
      <c r="AT4" s="69" t="s">
        <v>19</v>
      </c>
      <c r="AU4" s="69" t="str">
        <f>VLOOKUP(UNINASSAU[[#This Row],[CURSO]],'[1]POS_EAD_0112 a 3101_CAMP. REG)'!$F$690:$G$915,2,FALSE)</f>
        <v>Humanas</v>
      </c>
      <c r="AV4" s="69">
        <f>VLOOKUP(UNINASSAU[[#This Row],[CURSO]],'[1]POS_EAD_0112 a 3101_CAMP. REG)'!$F$690:$H$915,3,FALSE)</f>
        <v>12</v>
      </c>
      <c r="AW4" s="69">
        <f>VLOOKUP(UNINASSAU[[#This Row],[CURSO]],'[1]POS_EAD_0112 a 3101_CAMP. REG)'!$F$690:$I$915,4,FALSE)</f>
        <v>19</v>
      </c>
      <c r="AX4" s="73">
        <f>VLOOKUP(UNINASSAU[[#This Row],[CURSO]],'[1]POS_EAD_0112 a 3101_CAMP. REG)'!$F$690:$J$915,5,FALSE)</f>
        <v>184.28091221052631</v>
      </c>
      <c r="AY4" s="123">
        <f>VLOOKUP(UNINASSAU[[#This Row],[CURSO]],'[1]POS_EAD_0112 a 3101_CAMP. REG)'!$F$690:$L$915,7,FALSE)</f>
        <v>0.45</v>
      </c>
      <c r="AZ4" s="73">
        <f>VLOOKUP(UNINASSAU[[#This Row],[CURSO]],'[1]POS_EAD_0112 a 3101_CAMP. REG)'!$F$690:$N$915,8,FALSE)</f>
        <v>91.22</v>
      </c>
      <c r="BA4" s="123">
        <f>VLOOKUP(UNINASSAU[[#This Row],[CURSO]],'[1]POS_EAD_0112 a 3101_CAMP. REG)'!$F$690:$P$915,11,FALSE)</f>
        <v>0.5</v>
      </c>
      <c r="BB4" s="73">
        <f>VLOOKUP(UNINASSAU[[#This Row],[CURSO]],'[1]POS_EAD_0112 a 3101_CAMP. REG)'!$F$690:$Q$915,12,FALSE)</f>
        <v>82.93</v>
      </c>
      <c r="BD4" s="104">
        <v>1</v>
      </c>
      <c r="BE4" s="121" t="s">
        <v>77</v>
      </c>
      <c r="BF4" s="69" t="s">
        <v>19</v>
      </c>
      <c r="BH4" s="52">
        <v>1</v>
      </c>
      <c r="BI4" s="52" t="s">
        <v>2</v>
      </c>
    </row>
    <row r="5" spans="1:72" ht="9.75" customHeight="1" x14ac:dyDescent="0.25">
      <c r="A5" s="47"/>
      <c r="B5" s="17"/>
      <c r="C5" s="16"/>
      <c r="D5" s="16"/>
      <c r="E5" s="20"/>
      <c r="F5" s="20"/>
      <c r="G5" s="16"/>
      <c r="H5" s="16"/>
      <c r="I5" s="21"/>
      <c r="J5" s="1"/>
      <c r="L5" s="121" t="s">
        <v>123</v>
      </c>
      <c r="M5" s="69" t="s">
        <v>19</v>
      </c>
      <c r="N5" s="69" t="str">
        <f>VLOOKUP($L$4,'[1]POS_EAD_0112 a 3101_CAMP. REG)'!$F$5:$G$231,2,FALSE)</f>
        <v>Humanas</v>
      </c>
      <c r="O5" s="69">
        <f>VLOOKUP(L5,'[1]POS_EAD_0112 a 3101_CAMP. REG)'!$F$5:$H$231,3,FALSE)</f>
        <v>6</v>
      </c>
      <c r="P5" s="68">
        <f>VLOOKUP(L5,'[1]POS_EAD_0112 a 3101_CAMP. REG)'!$F$5:$I$231,4,FALSE)</f>
        <v>13</v>
      </c>
      <c r="Q5" s="73">
        <f>VLOOKUP(L5,'[1]POS_EAD_0112 a 3101_CAMP. REG)'!$F$5:$J$231,5,FALSE)</f>
        <v>269.33202599999998</v>
      </c>
      <c r="R5" s="124">
        <f>VLOOKUP(L5,'[1]POS_EAD_0112 a 3101_CAMP. REG)'!$F$5:$L$231,7,FALSE)</f>
        <v>0.45</v>
      </c>
      <c r="S5" s="73">
        <f>VLOOKUP(L5,'[1]POS_EAD_0112 a 3101_CAMP. REG)'!$F$5:$M$231,8,FALSE)</f>
        <v>133.32</v>
      </c>
      <c r="T5" s="124">
        <f>VLOOKUP(L5,'[1]POS_EAD_0112 a 3101_CAMP. REG)'!$F$5:$P$231,11,FALSE)</f>
        <v>0.5</v>
      </c>
      <c r="U5" s="73">
        <f>VLOOKUP(L5,'[1]POS_EAD_0112 a 3101_CAMP. REG)'!$F$5:$Q$231,12,FALSE)</f>
        <v>121.2</v>
      </c>
      <c r="W5" s="121" t="s">
        <v>123</v>
      </c>
      <c r="X5" s="69" t="s">
        <v>19</v>
      </c>
      <c r="Y5" s="69" t="str">
        <f>VLOOKUP(W5,'[1]POS_EAD_0112 a 3101_CAMP. REG)'!$F$231:$G$461,2,FALSE)</f>
        <v>Humanas</v>
      </c>
      <c r="Z5" s="68">
        <f>VLOOKUP(W5,'[1]POS_EAD_0112 a 3101_CAMP. REG)'!$F$231:$H$461,3,FALSE)</f>
        <v>6</v>
      </c>
      <c r="AA5" s="68">
        <f>VLOOKUP(W5,'[1]POS_EAD_0112 a 3101_CAMP. REG)'!$F$231:$I$461,4,FALSE)</f>
        <v>13</v>
      </c>
      <c r="AB5" s="73">
        <f>VLOOKUP(W5,'[1]POS_EAD_0112 a 3101_CAMP. REG)'!$F$231:$J$461,5,FALSE)</f>
        <v>303.42628200000001</v>
      </c>
      <c r="AC5" s="72">
        <f>VLOOKUP(W5,'[1]POS_EAD_0112 a 3101_CAMP. REG)'!$F$231:$L$461,7,FALSE)</f>
        <v>0.45</v>
      </c>
      <c r="AD5" s="73">
        <f>VLOOKUP(W5,'[1]POS_EAD_0112 a 3101_CAMP. REG)'!$F$231:$M$461,8,FALSE)</f>
        <v>150.19999999999999</v>
      </c>
      <c r="AE5" s="72">
        <f>VLOOKUP(W5,'[1]POS_EAD_0112 a 3101_CAMP. REG)'!$F$231:$P$461,11,FALSE)</f>
        <v>0.5</v>
      </c>
      <c r="AF5" s="73">
        <f>VLOOKUP(W5,'[1]POS_EAD_0112 a 3101_CAMP. REG)'!$F$231:$Q$461,12,FALSE)</f>
        <v>136.54</v>
      </c>
      <c r="AH5" s="121" t="s">
        <v>123</v>
      </c>
      <c r="AI5" s="69" t="s">
        <v>19</v>
      </c>
      <c r="AJ5" s="68" t="str">
        <f>VLOOKUP(UNG[[#This Row],[CURSO]],'[1]POS_EAD_0112 a 3101_CAMP. REG)'!$F$463:$G$688,2,FALSE)</f>
        <v>Humanas</v>
      </c>
      <c r="AK5" s="68">
        <f>VLOOKUP(UNG[[#This Row],[CURSO]],'[1]POS_EAD_0112 a 3101_CAMP. REG)'!$F$463:$H$688,3,FALSE)</f>
        <v>6</v>
      </c>
      <c r="AL5" s="68">
        <f>VLOOKUP(UNG[[#This Row],[CURSO]],'[1]POS_EAD_0112 a 3101_CAMP. REG)'!$F$463:$I$688,4,FALSE)</f>
        <v>13</v>
      </c>
      <c r="AM5" s="71">
        <f>VLOOKUP(UNG[[#This Row],[CURSO]],'[1]POS_EAD_0112 a 3101_CAMP. REG)'!$F$463:$J$688,5,FALSE)</f>
        <v>269.33202599999998</v>
      </c>
      <c r="AN5" s="124">
        <f>VLOOKUP(UNG[[#This Row],[CURSO]],'[1]POS_EAD_0112 a 3101_CAMP. REG)'!$F$463:$L$688,7,FALSE)</f>
        <v>0.45</v>
      </c>
      <c r="AO5" s="71">
        <f>VLOOKUP(UNG[[#This Row],[CURSO]],'[1]POS_EAD_0112 a 3101_CAMP. REG)'!$F$463:$M$688,8,FALSE)</f>
        <v>133.32</v>
      </c>
      <c r="AP5" s="124">
        <f>VLOOKUP(UNG[[#This Row],[CURSO]],'[1]POS_EAD_0112 a 3101_CAMP. REG)'!$F$463:$P$688,11,FALSE)</f>
        <v>0.5</v>
      </c>
      <c r="AQ5" s="71">
        <f>VLOOKUP(UNG[[#This Row],[CURSO]],'[1]POS_EAD_0112 a 3101_CAMP. REG)'!$F$463:$Q$688,12,FALSE)</f>
        <v>121.2</v>
      </c>
      <c r="AS5" s="121" t="s">
        <v>123</v>
      </c>
      <c r="AT5" s="69" t="s">
        <v>19</v>
      </c>
      <c r="AU5" s="69" t="str">
        <f>VLOOKUP(UNINASSAU[[#This Row],[CURSO]],'[1]POS_EAD_0112 a 3101_CAMP. REG)'!$F$690:$G$915,2,FALSE)</f>
        <v>Humanas</v>
      </c>
      <c r="AV5" s="69">
        <f>VLOOKUP(UNINASSAU[[#This Row],[CURSO]],'[1]POS_EAD_0112 a 3101_CAMP. REG)'!$F$690:$H$915,3,FALSE)</f>
        <v>6</v>
      </c>
      <c r="AW5" s="69">
        <f>VLOOKUP(UNINASSAU[[#This Row],[CURSO]],'[1]POS_EAD_0112 a 3101_CAMP. REG)'!$F$690:$I$915,4,FALSE)</f>
        <v>13</v>
      </c>
      <c r="AX5" s="73">
        <f>VLOOKUP(UNINASSAU[[#This Row],[CURSO]],'[1]POS_EAD_0112 a 3101_CAMP. REG)'!$F$690:$J$915,5,FALSE)</f>
        <v>269.33202599999998</v>
      </c>
      <c r="AY5" s="72">
        <f>VLOOKUP(UNINASSAU[[#This Row],[CURSO]],'[1]POS_EAD_0112 a 3101_CAMP. REG)'!$F$690:$L$915,7,FALSE)</f>
        <v>0.45</v>
      </c>
      <c r="AZ5" s="73">
        <f>VLOOKUP(UNINASSAU[[#This Row],[CURSO]],'[1]POS_EAD_0112 a 3101_CAMP. REG)'!$F$690:$N$915,8,FALSE)</f>
        <v>133.32</v>
      </c>
      <c r="BA5" s="72">
        <f>VLOOKUP(UNINASSAU[[#This Row],[CURSO]],'[1]POS_EAD_0112 a 3101_CAMP. REG)'!$F$690:$P$915,11,FALSE)</f>
        <v>0.5</v>
      </c>
      <c r="BB5" s="73">
        <f>VLOOKUP(UNINASSAU[[#This Row],[CURSO]],'[1]POS_EAD_0112 a 3101_CAMP. REG)'!$F$690:$Q$915,12,FALSE)</f>
        <v>121.2</v>
      </c>
      <c r="BD5" s="104">
        <v>2</v>
      </c>
      <c r="BE5" s="121" t="s">
        <v>123</v>
      </c>
      <c r="BF5" s="69" t="s">
        <v>19</v>
      </c>
      <c r="BH5" s="52">
        <v>2</v>
      </c>
      <c r="BI5" s="52" t="s">
        <v>3</v>
      </c>
    </row>
    <row r="6" spans="1:72" ht="30" customHeight="1" x14ac:dyDescent="0.25">
      <c r="A6" s="47"/>
      <c r="B6" s="17"/>
      <c r="C6" s="17"/>
      <c r="D6" s="173" t="s">
        <v>21</v>
      </c>
      <c r="E6" s="173"/>
      <c r="F6" s="173"/>
      <c r="G6" s="173"/>
      <c r="H6" s="173"/>
      <c r="I6" s="19"/>
      <c r="J6" s="1"/>
      <c r="L6" s="121" t="s">
        <v>203</v>
      </c>
      <c r="M6" s="69" t="s">
        <v>19</v>
      </c>
      <c r="N6" s="69" t="str">
        <f>VLOOKUP($L$4,'[1]POS_EAD_0112 a 3101_CAMP. REG)'!$F$5:$G$231,2,FALSE)</f>
        <v>Humanas</v>
      </c>
      <c r="O6" s="69">
        <f>VLOOKUP(L6,'[1]POS_EAD_0112 a 3101_CAMP. REG)'!$F$5:$H$231,3,FALSE)</f>
        <v>6</v>
      </c>
      <c r="P6" s="68">
        <f>VLOOKUP(L6,'[1]POS_EAD_0112 a 3101_CAMP. REG)'!$F$5:$I$231,4,FALSE)</f>
        <v>13</v>
      </c>
      <c r="Q6" s="73">
        <f>VLOOKUP(L6,'[1]POS_EAD_0112 a 3101_CAMP. REG)'!$F$5:$J$231,5,FALSE)</f>
        <v>269.33202599999998</v>
      </c>
      <c r="R6" s="124">
        <f>VLOOKUP(L6,'[1]POS_EAD_0112 a 3101_CAMP. REG)'!$F$5:$L$231,7,FALSE)</f>
        <v>0.45</v>
      </c>
      <c r="S6" s="73">
        <f>VLOOKUP(L6,'[1]POS_EAD_0112 a 3101_CAMP. REG)'!$F$5:$M$231,8,FALSE)</f>
        <v>133.32</v>
      </c>
      <c r="T6" s="124">
        <f>VLOOKUP(L6,'[1]POS_EAD_0112 a 3101_CAMP. REG)'!$F$5:$P$231,11,FALSE)</f>
        <v>0.5</v>
      </c>
      <c r="U6" s="73">
        <f>VLOOKUP(L6,'[1]POS_EAD_0112 a 3101_CAMP. REG)'!$F$5:$Q$231,12,FALSE)</f>
        <v>121.2</v>
      </c>
      <c r="W6" s="121" t="s">
        <v>203</v>
      </c>
      <c r="X6" s="69" t="s">
        <v>19</v>
      </c>
      <c r="Y6" s="69" t="str">
        <f>VLOOKUP(W6,'[1]POS_EAD_0112 a 3101_CAMP. REG)'!$F$231:$G$461,2,FALSE)</f>
        <v>Exatas</v>
      </c>
      <c r="Z6" s="68">
        <f>VLOOKUP(W6,'[1]POS_EAD_0112 a 3101_CAMP. REG)'!$F$231:$H$461,3,FALSE)</f>
        <v>6</v>
      </c>
      <c r="AA6" s="68">
        <f>VLOOKUP(W6,'[1]POS_EAD_0112 a 3101_CAMP. REG)'!$F$231:$I$461,4,FALSE)</f>
        <v>13</v>
      </c>
      <c r="AB6" s="73">
        <f>VLOOKUP(W6,'[1]POS_EAD_0112 a 3101_CAMP. REG)'!$F$231:$J$461,5,FALSE)</f>
        <v>303.42628200000001</v>
      </c>
      <c r="AC6" s="72">
        <f>VLOOKUP(W6,'[1]POS_EAD_0112 a 3101_CAMP. REG)'!$F$231:$L$461,7,FALSE)</f>
        <v>0.45</v>
      </c>
      <c r="AD6" s="73">
        <f>VLOOKUP(W6,'[1]POS_EAD_0112 a 3101_CAMP. REG)'!$F$231:$M$461,8,FALSE)</f>
        <v>150.19999999999999</v>
      </c>
      <c r="AE6" s="72">
        <f>VLOOKUP(W6,'[1]POS_EAD_0112 a 3101_CAMP. REG)'!$F$231:$P$461,11,FALSE)</f>
        <v>0.5</v>
      </c>
      <c r="AF6" s="73">
        <f>VLOOKUP(W6,'[1]POS_EAD_0112 a 3101_CAMP. REG)'!$F$231:$Q$461,12,FALSE)</f>
        <v>136.54</v>
      </c>
      <c r="AH6" s="121" t="s">
        <v>203</v>
      </c>
      <c r="AI6" s="69" t="s">
        <v>19</v>
      </c>
      <c r="AJ6" s="68" t="str">
        <f>VLOOKUP(UNG[[#This Row],[CURSO]],'[1]POS_EAD_0112 a 3101_CAMP. REG)'!$F$463:$G$688,2,FALSE)</f>
        <v>Exatas</v>
      </c>
      <c r="AK6" s="68">
        <f>VLOOKUP(UNG[[#This Row],[CURSO]],'[1]POS_EAD_0112 a 3101_CAMP. REG)'!$F$463:$H$688,3,FALSE)</f>
        <v>6</v>
      </c>
      <c r="AL6" s="68">
        <f>VLOOKUP(UNG[[#This Row],[CURSO]],'[1]POS_EAD_0112 a 3101_CAMP. REG)'!$F$463:$I$688,4,FALSE)</f>
        <v>13</v>
      </c>
      <c r="AM6" s="71">
        <f>VLOOKUP(UNG[[#This Row],[CURSO]],'[1]POS_EAD_0112 a 3101_CAMP. REG)'!$F$463:$J$688,5,FALSE)</f>
        <v>269.33202599999998</v>
      </c>
      <c r="AN6" s="124">
        <f>VLOOKUP(UNG[[#This Row],[CURSO]],'[1]POS_EAD_0112 a 3101_CAMP. REG)'!$F$463:$L$688,7,FALSE)</f>
        <v>0.45</v>
      </c>
      <c r="AO6" s="71">
        <f>VLOOKUP(UNG[[#This Row],[CURSO]],'[1]POS_EAD_0112 a 3101_CAMP. REG)'!$F$463:$M$688,8,FALSE)</f>
        <v>133.32</v>
      </c>
      <c r="AP6" s="124">
        <f>VLOOKUP(UNG[[#This Row],[CURSO]],'[1]POS_EAD_0112 a 3101_CAMP. REG)'!$F$463:$P$688,11,FALSE)</f>
        <v>0.5</v>
      </c>
      <c r="AQ6" s="71">
        <f>VLOOKUP(UNG[[#This Row],[CURSO]],'[1]POS_EAD_0112 a 3101_CAMP. REG)'!$F$463:$Q$688,12,FALSE)</f>
        <v>121.2</v>
      </c>
      <c r="AS6" s="121" t="s">
        <v>203</v>
      </c>
      <c r="AT6" s="69" t="s">
        <v>19</v>
      </c>
      <c r="AU6" s="69" t="str">
        <f>VLOOKUP(UNINASSAU[[#This Row],[CURSO]],'[1]POS_EAD_0112 a 3101_CAMP. REG)'!$F$690:$G$915,2,FALSE)</f>
        <v>Exatas</v>
      </c>
      <c r="AV6" s="69">
        <f>VLOOKUP(UNINASSAU[[#This Row],[CURSO]],'[1]POS_EAD_0112 a 3101_CAMP. REG)'!$F$690:$H$915,3,FALSE)</f>
        <v>6</v>
      </c>
      <c r="AW6" s="69">
        <f>VLOOKUP(UNINASSAU[[#This Row],[CURSO]],'[1]POS_EAD_0112 a 3101_CAMP. REG)'!$F$690:$I$915,4,FALSE)</f>
        <v>13</v>
      </c>
      <c r="AX6" s="73">
        <f>VLOOKUP(UNINASSAU[[#This Row],[CURSO]],'[1]POS_EAD_0112 a 3101_CAMP. REG)'!$F$690:$J$915,5,FALSE)</f>
        <v>269.33202599999998</v>
      </c>
      <c r="AY6" s="72">
        <f>VLOOKUP(UNINASSAU[[#This Row],[CURSO]],'[1]POS_EAD_0112 a 3101_CAMP. REG)'!$F$690:$L$915,7,FALSE)</f>
        <v>0.45</v>
      </c>
      <c r="AZ6" s="73">
        <f>VLOOKUP(UNINASSAU[[#This Row],[CURSO]],'[1]POS_EAD_0112 a 3101_CAMP. REG)'!$F$690:$N$915,8,FALSE)</f>
        <v>133.32</v>
      </c>
      <c r="BA6" s="72">
        <f>VLOOKUP(UNINASSAU[[#This Row],[CURSO]],'[1]POS_EAD_0112 a 3101_CAMP. REG)'!$F$690:$P$915,11,FALSE)</f>
        <v>0.5</v>
      </c>
      <c r="BB6" s="73">
        <f>VLOOKUP(UNINASSAU[[#This Row],[CURSO]],'[1]POS_EAD_0112 a 3101_CAMP. REG)'!$F$690:$Q$915,12,FALSE)</f>
        <v>121.2</v>
      </c>
      <c r="BD6" s="104">
        <v>3</v>
      </c>
      <c r="BE6" s="121" t="s">
        <v>203</v>
      </c>
      <c r="BF6" s="69" t="s">
        <v>19</v>
      </c>
      <c r="BH6" s="52">
        <v>3</v>
      </c>
      <c r="BI6" s="52" t="s">
        <v>4</v>
      </c>
    </row>
    <row r="7" spans="1:72" ht="6" customHeight="1" x14ac:dyDescent="0.25">
      <c r="A7" s="47"/>
      <c r="B7" s="17"/>
      <c r="C7" s="17"/>
      <c r="D7" s="17"/>
      <c r="E7" s="23"/>
      <c r="F7" s="24"/>
      <c r="G7" s="22"/>
      <c r="H7" s="22"/>
      <c r="I7" s="19"/>
      <c r="J7" s="1"/>
      <c r="L7" s="121" t="s">
        <v>169</v>
      </c>
      <c r="M7" s="69" t="s">
        <v>19</v>
      </c>
      <c r="N7" s="69" t="str">
        <f>VLOOKUP($L$4,'[1]POS_EAD_0112 a 3101_CAMP. REG)'!$F$5:$G$231,2,FALSE)</f>
        <v>Humanas</v>
      </c>
      <c r="O7" s="69">
        <f>VLOOKUP(L7,'[1]POS_EAD_0112 a 3101_CAMP. REG)'!$F$5:$H$231,3,FALSE)</f>
        <v>6</v>
      </c>
      <c r="P7" s="68">
        <f>VLOOKUP(L7,'[1]POS_EAD_0112 a 3101_CAMP. REG)'!$F$5:$I$231,4,FALSE)</f>
        <v>13</v>
      </c>
      <c r="Q7" s="73">
        <f>VLOOKUP(L7,'[1]POS_EAD_0112 a 3101_CAMP. REG)'!$F$5:$J$231,5,FALSE)</f>
        <v>269.33202599999998</v>
      </c>
      <c r="R7" s="124">
        <f>VLOOKUP(L7,'[1]POS_EAD_0112 a 3101_CAMP. REG)'!$F$5:$L$231,7,FALSE)</f>
        <v>0.45</v>
      </c>
      <c r="S7" s="73">
        <f>VLOOKUP(L7,'[1]POS_EAD_0112 a 3101_CAMP. REG)'!$F$5:$M$231,8,FALSE)</f>
        <v>133.32</v>
      </c>
      <c r="T7" s="124">
        <f>VLOOKUP(L7,'[1]POS_EAD_0112 a 3101_CAMP. REG)'!$F$5:$P$231,11,FALSE)</f>
        <v>0.5</v>
      </c>
      <c r="U7" s="73">
        <f>VLOOKUP(L7,'[1]POS_EAD_0112 a 3101_CAMP. REG)'!$F$5:$Q$231,12,FALSE)</f>
        <v>121.2</v>
      </c>
      <c r="W7" s="121" t="s">
        <v>169</v>
      </c>
      <c r="X7" s="69" t="s">
        <v>19</v>
      </c>
      <c r="Y7" s="69" t="str">
        <f>VLOOKUP(W7,'[1]POS_EAD_0112 a 3101_CAMP. REG)'!$F$231:$G$461,2,FALSE)</f>
        <v>Humanas</v>
      </c>
      <c r="Z7" s="68">
        <f>VLOOKUP(W7,'[1]POS_EAD_0112 a 3101_CAMP. REG)'!$F$231:$H$461,3,FALSE)</f>
        <v>6</v>
      </c>
      <c r="AA7" s="68">
        <f>VLOOKUP(W7,'[1]POS_EAD_0112 a 3101_CAMP. REG)'!$F$231:$I$461,4,FALSE)</f>
        <v>13</v>
      </c>
      <c r="AB7" s="73">
        <f>VLOOKUP(W7,'[1]POS_EAD_0112 a 3101_CAMP. REG)'!$F$231:$J$461,5,FALSE)</f>
        <v>303.42628200000001</v>
      </c>
      <c r="AC7" s="72">
        <f>VLOOKUP(W7,'[1]POS_EAD_0112 a 3101_CAMP. REG)'!$F$231:$L$461,7,FALSE)</f>
        <v>0.45</v>
      </c>
      <c r="AD7" s="73">
        <f>VLOOKUP(W7,'[1]POS_EAD_0112 a 3101_CAMP. REG)'!$F$231:$M$461,8,FALSE)</f>
        <v>150.19999999999999</v>
      </c>
      <c r="AE7" s="72">
        <f>VLOOKUP(W7,'[1]POS_EAD_0112 a 3101_CAMP. REG)'!$F$231:$P$461,11,FALSE)</f>
        <v>0.5</v>
      </c>
      <c r="AF7" s="73">
        <f>VLOOKUP(W7,'[1]POS_EAD_0112 a 3101_CAMP. REG)'!$F$231:$Q$461,12,FALSE)</f>
        <v>136.54</v>
      </c>
      <c r="AH7" s="121" t="s">
        <v>169</v>
      </c>
      <c r="AI7" s="69" t="s">
        <v>19</v>
      </c>
      <c r="AJ7" s="68" t="str">
        <f>VLOOKUP(UNG[[#This Row],[CURSO]],'[1]POS_EAD_0112 a 3101_CAMP. REG)'!$F$463:$G$688,2,FALSE)</f>
        <v>Humanas</v>
      </c>
      <c r="AK7" s="68">
        <f>VLOOKUP(UNG[[#This Row],[CURSO]],'[1]POS_EAD_0112 a 3101_CAMP. REG)'!$F$463:$H$688,3,FALSE)</f>
        <v>6</v>
      </c>
      <c r="AL7" s="68">
        <f>VLOOKUP(UNG[[#This Row],[CURSO]],'[1]POS_EAD_0112 a 3101_CAMP. REG)'!$F$463:$I$688,4,FALSE)</f>
        <v>13</v>
      </c>
      <c r="AM7" s="71">
        <f>VLOOKUP(UNG[[#This Row],[CURSO]],'[1]POS_EAD_0112 a 3101_CAMP. REG)'!$F$463:$J$688,5,FALSE)</f>
        <v>269.33202599999998</v>
      </c>
      <c r="AN7" s="124">
        <f>VLOOKUP(UNG[[#This Row],[CURSO]],'[1]POS_EAD_0112 a 3101_CAMP. REG)'!$F$463:$L$688,7,FALSE)</f>
        <v>0.45</v>
      </c>
      <c r="AO7" s="71">
        <f>VLOOKUP(UNG[[#This Row],[CURSO]],'[1]POS_EAD_0112 a 3101_CAMP. REG)'!$F$463:$M$688,8,FALSE)</f>
        <v>133.32</v>
      </c>
      <c r="AP7" s="124">
        <f>VLOOKUP(UNG[[#This Row],[CURSO]],'[1]POS_EAD_0112 a 3101_CAMP. REG)'!$F$463:$P$688,11,FALSE)</f>
        <v>0.5</v>
      </c>
      <c r="AQ7" s="71">
        <f>VLOOKUP(UNG[[#This Row],[CURSO]],'[1]POS_EAD_0112 a 3101_CAMP. REG)'!$F$463:$Q$688,12,FALSE)</f>
        <v>121.2</v>
      </c>
      <c r="AS7" s="121" t="s">
        <v>169</v>
      </c>
      <c r="AT7" s="69" t="s">
        <v>19</v>
      </c>
      <c r="AU7" s="69" t="str">
        <f>VLOOKUP(UNINASSAU[[#This Row],[CURSO]],'[1]POS_EAD_0112 a 3101_CAMP. REG)'!$F$690:$G$915,2,FALSE)</f>
        <v>Humanas</v>
      </c>
      <c r="AV7" s="69">
        <f>VLOOKUP(UNINASSAU[[#This Row],[CURSO]],'[1]POS_EAD_0112 a 3101_CAMP. REG)'!$F$690:$H$915,3,FALSE)</f>
        <v>6</v>
      </c>
      <c r="AW7" s="69">
        <f>VLOOKUP(UNINASSAU[[#This Row],[CURSO]],'[1]POS_EAD_0112 a 3101_CAMP. REG)'!$F$690:$I$915,4,FALSE)</f>
        <v>13</v>
      </c>
      <c r="AX7" s="73">
        <f>VLOOKUP(UNINASSAU[[#This Row],[CURSO]],'[1]POS_EAD_0112 a 3101_CAMP. REG)'!$F$690:$J$915,5,FALSE)</f>
        <v>269.33202599999998</v>
      </c>
      <c r="AY7" s="72">
        <f>VLOOKUP(UNINASSAU[[#This Row],[CURSO]],'[1]POS_EAD_0112 a 3101_CAMP. REG)'!$F$690:$L$915,7,FALSE)</f>
        <v>0.45</v>
      </c>
      <c r="AZ7" s="73">
        <f>VLOOKUP(UNINASSAU[[#This Row],[CURSO]],'[1]POS_EAD_0112 a 3101_CAMP. REG)'!$F$690:$N$915,8,FALSE)</f>
        <v>133.32</v>
      </c>
      <c r="BA7" s="72">
        <f>VLOOKUP(UNINASSAU[[#This Row],[CURSO]],'[1]POS_EAD_0112 a 3101_CAMP. REG)'!$F$690:$P$915,11,FALSE)</f>
        <v>0.5</v>
      </c>
      <c r="BB7" s="73">
        <f>VLOOKUP(UNINASSAU[[#This Row],[CURSO]],'[1]POS_EAD_0112 a 3101_CAMP. REG)'!$F$690:$Q$915,12,FALSE)</f>
        <v>121.2</v>
      </c>
      <c r="BD7" s="104">
        <v>4</v>
      </c>
      <c r="BE7" s="121" t="s">
        <v>169</v>
      </c>
      <c r="BF7" s="69" t="s">
        <v>19</v>
      </c>
      <c r="BH7" s="52">
        <v>4</v>
      </c>
      <c r="BI7" s="52" t="s">
        <v>5</v>
      </c>
    </row>
    <row r="8" spans="1:72" ht="30" customHeight="1" x14ac:dyDescent="0.25">
      <c r="A8" s="47"/>
      <c r="B8" s="17"/>
      <c r="C8" s="17"/>
      <c r="D8" s="173" t="s">
        <v>22</v>
      </c>
      <c r="E8" s="173"/>
      <c r="F8" s="173"/>
      <c r="G8" s="173"/>
      <c r="H8" s="173"/>
      <c r="I8" s="19"/>
      <c r="J8" s="1"/>
      <c r="L8" s="121" t="s">
        <v>151</v>
      </c>
      <c r="M8" s="69" t="s">
        <v>19</v>
      </c>
      <c r="N8" s="69" t="str">
        <f>VLOOKUP($L$4,'[1]POS_EAD_0112 a 3101_CAMP. REG)'!$F$5:$G$231,2,FALSE)</f>
        <v>Humanas</v>
      </c>
      <c r="O8" s="69">
        <f>VLOOKUP(L8,'[1]POS_EAD_0112 a 3101_CAMP. REG)'!$F$5:$H$231,3,FALSE)</f>
        <v>6</v>
      </c>
      <c r="P8" s="68">
        <f>VLOOKUP(L8,'[1]POS_EAD_0112 a 3101_CAMP. REG)'!$F$5:$I$231,4,FALSE)</f>
        <v>13</v>
      </c>
      <c r="Q8" s="73">
        <f>VLOOKUP(L8,'[1]POS_EAD_0112 a 3101_CAMP. REG)'!$F$5:$J$231,5,FALSE)</f>
        <v>405.70905000000005</v>
      </c>
      <c r="R8" s="124">
        <f>VLOOKUP(L8,'[1]POS_EAD_0112 a 3101_CAMP. REG)'!$F$5:$L$231,7,FALSE)</f>
        <v>0.45</v>
      </c>
      <c r="S8" s="73">
        <f>VLOOKUP(L8,'[1]POS_EAD_0112 a 3101_CAMP. REG)'!$F$5:$M$231,8,FALSE)</f>
        <v>200.83</v>
      </c>
      <c r="T8" s="124">
        <f>VLOOKUP(L8,'[1]POS_EAD_0112 a 3101_CAMP. REG)'!$F$5:$P$231,11,FALSE)</f>
        <v>0.5</v>
      </c>
      <c r="U8" s="73">
        <f>VLOOKUP(L8,'[1]POS_EAD_0112 a 3101_CAMP. REG)'!$F$5:$Q$231,12,FALSE)</f>
        <v>182.57</v>
      </c>
      <c r="W8" s="121" t="s">
        <v>151</v>
      </c>
      <c r="X8" s="69" t="s">
        <v>19</v>
      </c>
      <c r="Y8" s="69" t="str">
        <f>VLOOKUP(W8,'[1]POS_EAD_0112 a 3101_CAMP. REG)'!$F$231:$G$461,2,FALSE)</f>
        <v>Saúde</v>
      </c>
      <c r="Z8" s="68">
        <f>VLOOKUP(W8,'[1]POS_EAD_0112 a 3101_CAMP. REG)'!$F$231:$H$461,3,FALSE)</f>
        <v>6</v>
      </c>
      <c r="AA8" s="68">
        <f>VLOOKUP(W8,'[1]POS_EAD_0112 a 3101_CAMP. REG)'!$F$231:$I$461,4,FALSE)</f>
        <v>13</v>
      </c>
      <c r="AB8" s="73">
        <f>VLOOKUP(W8,'[1]POS_EAD_0112 a 3101_CAMP. REG)'!$F$231:$J$461,5,FALSE)</f>
        <v>439.79280900000003</v>
      </c>
      <c r="AC8" s="72">
        <f>VLOOKUP(W8,'[1]POS_EAD_0112 a 3101_CAMP. REG)'!$F$231:$L$461,7,FALSE)</f>
        <v>0.45</v>
      </c>
      <c r="AD8" s="73">
        <f>VLOOKUP(W8,'[1]POS_EAD_0112 a 3101_CAMP. REG)'!$F$231:$M$461,8,FALSE)</f>
        <v>217.7</v>
      </c>
      <c r="AE8" s="72">
        <f>VLOOKUP(W8,'[1]POS_EAD_0112 a 3101_CAMP. REG)'!$F$231:$P$461,11,FALSE)</f>
        <v>0.5</v>
      </c>
      <c r="AF8" s="73">
        <f>VLOOKUP(W8,'[1]POS_EAD_0112 a 3101_CAMP. REG)'!$F$231:$Q$461,12,FALSE)</f>
        <v>197.91</v>
      </c>
      <c r="AH8" s="121" t="s">
        <v>151</v>
      </c>
      <c r="AI8" s="69" t="s">
        <v>19</v>
      </c>
      <c r="AJ8" s="68" t="str">
        <f>VLOOKUP(UNG[[#This Row],[CURSO]],'[1]POS_EAD_0112 a 3101_CAMP. REG)'!$F$463:$G$688,2,FALSE)</f>
        <v>Saúde</v>
      </c>
      <c r="AK8" s="68">
        <f>VLOOKUP(UNG[[#This Row],[CURSO]],'[1]POS_EAD_0112 a 3101_CAMP. REG)'!$F$463:$H$688,3,FALSE)</f>
        <v>6</v>
      </c>
      <c r="AL8" s="68">
        <f>VLOOKUP(UNG[[#This Row],[CURSO]],'[1]POS_EAD_0112 a 3101_CAMP. REG)'!$F$463:$I$688,4,FALSE)</f>
        <v>13</v>
      </c>
      <c r="AM8" s="71">
        <f>VLOOKUP(UNG[[#This Row],[CURSO]],'[1]POS_EAD_0112 a 3101_CAMP. REG)'!$F$463:$J$688,5,FALSE)</f>
        <v>405.70905000000005</v>
      </c>
      <c r="AN8" s="124">
        <f>VLOOKUP(UNG[[#This Row],[CURSO]],'[1]POS_EAD_0112 a 3101_CAMP. REG)'!$F$463:$L$688,7,FALSE)</f>
        <v>0.45</v>
      </c>
      <c r="AO8" s="71">
        <f>VLOOKUP(UNG[[#This Row],[CURSO]],'[1]POS_EAD_0112 a 3101_CAMP. REG)'!$F$463:$M$688,8,FALSE)</f>
        <v>200.83</v>
      </c>
      <c r="AP8" s="124">
        <f>VLOOKUP(UNG[[#This Row],[CURSO]],'[1]POS_EAD_0112 a 3101_CAMP. REG)'!$F$463:$P$688,11,FALSE)</f>
        <v>0.5</v>
      </c>
      <c r="AQ8" s="71">
        <f>VLOOKUP(UNG[[#This Row],[CURSO]],'[1]POS_EAD_0112 a 3101_CAMP. REG)'!$F$463:$Q$688,12,FALSE)</f>
        <v>182.57</v>
      </c>
      <c r="AS8" s="121" t="s">
        <v>151</v>
      </c>
      <c r="AT8" s="69" t="s">
        <v>19</v>
      </c>
      <c r="AU8" s="69" t="str">
        <f>VLOOKUP(UNINASSAU[[#This Row],[CURSO]],'[1]POS_EAD_0112 a 3101_CAMP. REG)'!$F$690:$G$915,2,FALSE)</f>
        <v>Saúde</v>
      </c>
      <c r="AV8" s="69">
        <f>VLOOKUP(UNINASSAU[[#This Row],[CURSO]],'[1]POS_EAD_0112 a 3101_CAMP. REG)'!$F$690:$H$915,3,FALSE)</f>
        <v>6</v>
      </c>
      <c r="AW8" s="69">
        <f>VLOOKUP(UNINASSAU[[#This Row],[CURSO]],'[1]POS_EAD_0112 a 3101_CAMP. REG)'!$F$690:$I$915,4,FALSE)</f>
        <v>13</v>
      </c>
      <c r="AX8" s="73">
        <f>VLOOKUP(UNINASSAU[[#This Row],[CURSO]],'[1]POS_EAD_0112 a 3101_CAMP. REG)'!$F$690:$J$915,5,FALSE)</f>
        <v>405.70905000000005</v>
      </c>
      <c r="AY8" s="72">
        <f>VLOOKUP(UNINASSAU[[#This Row],[CURSO]],'[1]POS_EAD_0112 a 3101_CAMP. REG)'!$F$690:$L$915,7,FALSE)</f>
        <v>0.45</v>
      </c>
      <c r="AZ8" s="73">
        <f>VLOOKUP(UNINASSAU[[#This Row],[CURSO]],'[1]POS_EAD_0112 a 3101_CAMP. REG)'!$F$690:$N$915,8,FALSE)</f>
        <v>200.83</v>
      </c>
      <c r="BA8" s="72">
        <f>VLOOKUP(UNINASSAU[[#This Row],[CURSO]],'[1]POS_EAD_0112 a 3101_CAMP. REG)'!$F$690:$P$915,11,FALSE)</f>
        <v>0.5</v>
      </c>
      <c r="BB8" s="73">
        <f>VLOOKUP(UNINASSAU[[#This Row],[CURSO]],'[1]POS_EAD_0112 a 3101_CAMP. REG)'!$F$690:$Q$915,12,FALSE)</f>
        <v>182.57</v>
      </c>
      <c r="BD8" s="104">
        <v>5</v>
      </c>
      <c r="BE8" s="121" t="s">
        <v>151</v>
      </c>
      <c r="BF8" s="69" t="s">
        <v>19</v>
      </c>
    </row>
    <row r="9" spans="1:72" x14ac:dyDescent="0.25">
      <c r="A9" s="47"/>
      <c r="B9" s="17"/>
      <c r="C9" s="17"/>
      <c r="D9" s="17"/>
      <c r="E9" s="18"/>
      <c r="F9" s="18"/>
      <c r="G9" s="17"/>
      <c r="H9" s="17"/>
      <c r="I9" s="19"/>
      <c r="J9" s="1"/>
      <c r="L9" s="121" t="s">
        <v>131</v>
      </c>
      <c r="M9" s="69" t="s">
        <v>19</v>
      </c>
      <c r="N9" s="69" t="str">
        <f>VLOOKUP($L$4,'[1]POS_EAD_0112 a 3101_CAMP. REG)'!$F$5:$G$231,2,FALSE)</f>
        <v>Humanas</v>
      </c>
      <c r="O9" s="69">
        <f>VLOOKUP(L9,'[1]POS_EAD_0112 a 3101_CAMP. REG)'!$F$5:$H$231,3,FALSE)</f>
        <v>6</v>
      </c>
      <c r="P9" s="68">
        <f>VLOOKUP(L9,'[1]POS_EAD_0112 a 3101_CAMP. REG)'!$F$5:$I$231,4,FALSE)</f>
        <v>13</v>
      </c>
      <c r="Q9" s="73">
        <f>VLOOKUP(L9,'[1]POS_EAD_0112 a 3101_CAMP. REG)'!$F$5:$J$231,5,FALSE)</f>
        <v>269.33202599999998</v>
      </c>
      <c r="R9" s="124">
        <f>VLOOKUP(L9,'[1]POS_EAD_0112 a 3101_CAMP. REG)'!$F$5:$L$231,7,FALSE)</f>
        <v>0.45</v>
      </c>
      <c r="S9" s="73">
        <f>VLOOKUP(L9,'[1]POS_EAD_0112 a 3101_CAMP. REG)'!$F$5:$M$231,8,FALSE)</f>
        <v>133.32</v>
      </c>
      <c r="T9" s="124">
        <f>VLOOKUP(L9,'[1]POS_EAD_0112 a 3101_CAMP. REG)'!$F$5:$P$231,11,FALSE)</f>
        <v>0.5</v>
      </c>
      <c r="U9" s="73">
        <f>VLOOKUP(L9,'[1]POS_EAD_0112 a 3101_CAMP. REG)'!$F$5:$Q$231,12,FALSE)</f>
        <v>121.2</v>
      </c>
      <c r="W9" s="121" t="s">
        <v>131</v>
      </c>
      <c r="X9" s="69" t="s">
        <v>19</v>
      </c>
      <c r="Y9" s="69" t="str">
        <f>VLOOKUP(W9,'[1]POS_EAD_0112 a 3101_CAMP. REG)'!$F$231:$G$461,2,FALSE)</f>
        <v>Humanas</v>
      </c>
      <c r="Z9" s="68">
        <f>VLOOKUP(W9,'[1]POS_EAD_0112 a 3101_CAMP. REG)'!$F$231:$H$461,3,FALSE)</f>
        <v>6</v>
      </c>
      <c r="AA9" s="68">
        <f>VLOOKUP(W9,'[1]POS_EAD_0112 a 3101_CAMP. REG)'!$F$231:$I$461,4,FALSE)</f>
        <v>13</v>
      </c>
      <c r="AB9" s="73">
        <f>VLOOKUP(W9,'[1]POS_EAD_0112 a 3101_CAMP. REG)'!$F$231:$J$461,5,FALSE)</f>
        <v>303.42628200000001</v>
      </c>
      <c r="AC9" s="72">
        <f>VLOOKUP(W9,'[1]POS_EAD_0112 a 3101_CAMP. REG)'!$F$231:$L$461,7,FALSE)</f>
        <v>0.45</v>
      </c>
      <c r="AD9" s="73">
        <f>VLOOKUP(W9,'[1]POS_EAD_0112 a 3101_CAMP. REG)'!$F$231:$M$461,8,FALSE)</f>
        <v>150.19999999999999</v>
      </c>
      <c r="AE9" s="72">
        <f>VLOOKUP(W9,'[1]POS_EAD_0112 a 3101_CAMP. REG)'!$F$231:$P$461,11,FALSE)</f>
        <v>0.5</v>
      </c>
      <c r="AF9" s="73">
        <f>VLOOKUP(W9,'[1]POS_EAD_0112 a 3101_CAMP. REG)'!$F$231:$Q$461,12,FALSE)</f>
        <v>136.54</v>
      </c>
      <c r="AH9" s="121" t="s">
        <v>131</v>
      </c>
      <c r="AI9" s="69" t="s">
        <v>19</v>
      </c>
      <c r="AJ9" s="68" t="str">
        <f>VLOOKUP(UNG[[#This Row],[CURSO]],'[1]POS_EAD_0112 a 3101_CAMP. REG)'!$F$463:$G$688,2,FALSE)</f>
        <v>Humanas</v>
      </c>
      <c r="AK9" s="68">
        <f>VLOOKUP(UNG[[#This Row],[CURSO]],'[1]POS_EAD_0112 a 3101_CAMP. REG)'!$F$463:$H$688,3,FALSE)</f>
        <v>6</v>
      </c>
      <c r="AL9" s="68">
        <f>VLOOKUP(UNG[[#This Row],[CURSO]],'[1]POS_EAD_0112 a 3101_CAMP. REG)'!$F$463:$I$688,4,FALSE)</f>
        <v>13</v>
      </c>
      <c r="AM9" s="71">
        <f>VLOOKUP(UNG[[#This Row],[CURSO]],'[1]POS_EAD_0112 a 3101_CAMP. REG)'!$F$463:$J$688,5,FALSE)</f>
        <v>269.33202599999998</v>
      </c>
      <c r="AN9" s="124">
        <f>VLOOKUP(UNG[[#This Row],[CURSO]],'[1]POS_EAD_0112 a 3101_CAMP. REG)'!$F$463:$L$688,7,FALSE)</f>
        <v>0.45</v>
      </c>
      <c r="AO9" s="71">
        <f>VLOOKUP(UNG[[#This Row],[CURSO]],'[1]POS_EAD_0112 a 3101_CAMP. REG)'!$F$463:$M$688,8,FALSE)</f>
        <v>133.32</v>
      </c>
      <c r="AP9" s="124">
        <f>VLOOKUP(UNG[[#This Row],[CURSO]],'[1]POS_EAD_0112 a 3101_CAMP. REG)'!$F$463:$P$688,11,FALSE)</f>
        <v>0.5</v>
      </c>
      <c r="AQ9" s="71">
        <f>VLOOKUP(UNG[[#This Row],[CURSO]],'[1]POS_EAD_0112 a 3101_CAMP. REG)'!$F$463:$Q$688,12,FALSE)</f>
        <v>121.2</v>
      </c>
      <c r="AS9" s="121" t="s">
        <v>131</v>
      </c>
      <c r="AT9" s="69" t="s">
        <v>19</v>
      </c>
      <c r="AU9" s="69" t="str">
        <f>VLOOKUP(UNINASSAU[[#This Row],[CURSO]],'[1]POS_EAD_0112 a 3101_CAMP. REG)'!$F$690:$G$915,2,FALSE)</f>
        <v>Humanas</v>
      </c>
      <c r="AV9" s="69">
        <f>VLOOKUP(UNINASSAU[[#This Row],[CURSO]],'[1]POS_EAD_0112 a 3101_CAMP. REG)'!$F$690:$H$915,3,FALSE)</f>
        <v>6</v>
      </c>
      <c r="AW9" s="69">
        <f>VLOOKUP(UNINASSAU[[#This Row],[CURSO]],'[1]POS_EAD_0112 a 3101_CAMP. REG)'!$F$690:$I$915,4,FALSE)</f>
        <v>13</v>
      </c>
      <c r="AX9" s="73">
        <f>VLOOKUP(UNINASSAU[[#This Row],[CURSO]],'[1]POS_EAD_0112 a 3101_CAMP. REG)'!$F$690:$J$915,5,FALSE)</f>
        <v>269.33202599999998</v>
      </c>
      <c r="AY9" s="72">
        <f>VLOOKUP(UNINASSAU[[#This Row],[CURSO]],'[1]POS_EAD_0112 a 3101_CAMP. REG)'!$F$690:$L$915,7,FALSE)</f>
        <v>0.45</v>
      </c>
      <c r="AZ9" s="73">
        <f>VLOOKUP(UNINASSAU[[#This Row],[CURSO]],'[1]POS_EAD_0112 a 3101_CAMP. REG)'!$F$690:$N$915,8,FALSE)</f>
        <v>133.32</v>
      </c>
      <c r="BA9" s="72">
        <f>VLOOKUP(UNINASSAU[[#This Row],[CURSO]],'[1]POS_EAD_0112 a 3101_CAMP. REG)'!$F$690:$P$915,11,FALSE)</f>
        <v>0.5</v>
      </c>
      <c r="BB9" s="73">
        <f>VLOOKUP(UNINASSAU[[#This Row],[CURSO]],'[1]POS_EAD_0112 a 3101_CAMP. REG)'!$F$690:$Q$915,12,FALSE)</f>
        <v>121.2</v>
      </c>
      <c r="BD9" s="104">
        <v>6</v>
      </c>
      <c r="BE9" s="121" t="s">
        <v>131</v>
      </c>
      <c r="BF9" s="69" t="s">
        <v>19</v>
      </c>
      <c r="BH9" s="62"/>
    </row>
    <row r="10" spans="1:72" ht="16.5" x14ac:dyDescent="0.3">
      <c r="A10" s="47"/>
      <c r="B10" s="17"/>
      <c r="C10" s="17"/>
      <c r="D10" s="25" t="s">
        <v>23</v>
      </c>
      <c r="E10" s="168" t="str">
        <f ca="1">IFERROR(VLOOKUP($BG$1,INDIRECT($BK$1),2,FALSE),"")</f>
        <v>COM OFERTA</v>
      </c>
      <c r="F10" s="168"/>
      <c r="G10" s="168"/>
      <c r="H10" s="17"/>
      <c r="I10" s="19"/>
      <c r="J10" s="1"/>
      <c r="L10" s="121" t="s">
        <v>45</v>
      </c>
      <c r="M10" s="69" t="s">
        <v>19</v>
      </c>
      <c r="N10" s="69" t="str">
        <f>VLOOKUP($L$4,'[1]POS_EAD_0112 a 3101_CAMP. REG)'!$F$5:$G$231,2,FALSE)</f>
        <v>Humanas</v>
      </c>
      <c r="O10" s="69">
        <f>VLOOKUP(L10,'[1]POS_EAD_0112 a 3101_CAMP. REG)'!$F$5:$H$231,3,FALSE)</f>
        <v>4</v>
      </c>
      <c r="P10" s="68">
        <f>VLOOKUP(L10,'[1]POS_EAD_0112 a 3101_CAMP. REG)'!$F$5:$I$231,4,FALSE)</f>
        <v>7</v>
      </c>
      <c r="Q10" s="73">
        <f>VLOOKUP(L10,'[1]POS_EAD_0112 a 3101_CAMP. REG)'!$F$5:$J$231,5,FALSE)</f>
        <v>269.33202599999998</v>
      </c>
      <c r="R10" s="124">
        <f>VLOOKUP(L10,'[1]POS_EAD_0112 a 3101_CAMP. REG)'!$F$5:$L$231,7,FALSE)</f>
        <v>0.45</v>
      </c>
      <c r="S10" s="73">
        <f>VLOOKUP(L10,'[1]POS_EAD_0112 a 3101_CAMP. REG)'!$F$5:$M$231,8,FALSE)</f>
        <v>133.32</v>
      </c>
      <c r="T10" s="124">
        <f>VLOOKUP(L10,'[1]POS_EAD_0112 a 3101_CAMP. REG)'!$F$5:$P$231,11,FALSE)</f>
        <v>0.5</v>
      </c>
      <c r="U10" s="73">
        <f>VLOOKUP(L10,'[1]POS_EAD_0112 a 3101_CAMP. REG)'!$F$5:$Q$231,12,FALSE)</f>
        <v>121.2</v>
      </c>
      <c r="W10" s="121" t="s">
        <v>45</v>
      </c>
      <c r="X10" s="69" t="s">
        <v>19</v>
      </c>
      <c r="Y10" s="69" t="str">
        <f>VLOOKUP(W10,'[1]POS_EAD_0112 a 3101_CAMP. REG)'!$F$231:$G$461,2,FALSE)</f>
        <v>Humanas</v>
      </c>
      <c r="Z10" s="68">
        <f>VLOOKUP(W10,'[1]POS_EAD_0112 a 3101_CAMP. REG)'!$F$231:$H$461,3,FALSE)</f>
        <v>4</v>
      </c>
      <c r="AA10" s="68">
        <f>VLOOKUP(W10,'[1]POS_EAD_0112 a 3101_CAMP. REG)'!$F$231:$I$461,4,FALSE)</f>
        <v>7</v>
      </c>
      <c r="AB10" s="73">
        <f>VLOOKUP(W10,'[1]POS_EAD_0112 a 3101_CAMP. REG)'!$F$231:$J$461,5,FALSE)</f>
        <v>303.42628200000001</v>
      </c>
      <c r="AC10" s="72">
        <f>VLOOKUP(W10,'[1]POS_EAD_0112 a 3101_CAMP. REG)'!$F$231:$L$461,7,FALSE)</f>
        <v>0.45</v>
      </c>
      <c r="AD10" s="73">
        <f>VLOOKUP(W10,'[1]POS_EAD_0112 a 3101_CAMP. REG)'!$F$231:$M$461,8,FALSE)</f>
        <v>150.19999999999999</v>
      </c>
      <c r="AE10" s="72">
        <f>VLOOKUP(W10,'[1]POS_EAD_0112 a 3101_CAMP. REG)'!$F$231:$P$461,11,FALSE)</f>
        <v>0.5</v>
      </c>
      <c r="AF10" s="73">
        <f>VLOOKUP(W10,'[1]POS_EAD_0112 a 3101_CAMP. REG)'!$F$231:$Q$461,12,FALSE)</f>
        <v>136.54</v>
      </c>
      <c r="AH10" s="121" t="s">
        <v>45</v>
      </c>
      <c r="AI10" s="69" t="s">
        <v>19</v>
      </c>
      <c r="AJ10" s="68" t="str">
        <f>VLOOKUP(UNG[[#This Row],[CURSO]],'[1]POS_EAD_0112 a 3101_CAMP. REG)'!$F$463:$G$688,2,FALSE)</f>
        <v>Humanas</v>
      </c>
      <c r="AK10" s="68">
        <f>VLOOKUP(UNG[[#This Row],[CURSO]],'[1]POS_EAD_0112 a 3101_CAMP. REG)'!$F$463:$H$688,3,FALSE)</f>
        <v>4</v>
      </c>
      <c r="AL10" s="68">
        <f>VLOOKUP(UNG[[#This Row],[CURSO]],'[1]POS_EAD_0112 a 3101_CAMP. REG)'!$F$463:$I$688,4,FALSE)</f>
        <v>7</v>
      </c>
      <c r="AM10" s="71">
        <f>VLOOKUP(UNG[[#This Row],[CURSO]],'[1]POS_EAD_0112 a 3101_CAMP. REG)'!$F$463:$J$688,5,FALSE)</f>
        <v>269.33202599999998</v>
      </c>
      <c r="AN10" s="124">
        <f>VLOOKUP(UNG[[#This Row],[CURSO]],'[1]POS_EAD_0112 a 3101_CAMP. REG)'!$F$463:$L$688,7,FALSE)</f>
        <v>0.45</v>
      </c>
      <c r="AO10" s="71">
        <f>VLOOKUP(UNG[[#This Row],[CURSO]],'[1]POS_EAD_0112 a 3101_CAMP. REG)'!$F$463:$M$688,8,FALSE)</f>
        <v>133.32</v>
      </c>
      <c r="AP10" s="124">
        <f>VLOOKUP(UNG[[#This Row],[CURSO]],'[1]POS_EAD_0112 a 3101_CAMP. REG)'!$F$463:$P$688,11,FALSE)</f>
        <v>0.5</v>
      </c>
      <c r="AQ10" s="71">
        <f>VLOOKUP(UNG[[#This Row],[CURSO]],'[1]POS_EAD_0112 a 3101_CAMP. REG)'!$F$463:$Q$688,12,FALSE)</f>
        <v>121.2</v>
      </c>
      <c r="AS10" s="121" t="s">
        <v>45</v>
      </c>
      <c r="AT10" s="69" t="s">
        <v>19</v>
      </c>
      <c r="AU10" s="69" t="str">
        <f>VLOOKUP(UNINASSAU[[#This Row],[CURSO]],'[1]POS_EAD_0112 a 3101_CAMP. REG)'!$F$690:$G$915,2,FALSE)</f>
        <v>Humanas</v>
      </c>
      <c r="AV10" s="69">
        <f>VLOOKUP(UNINASSAU[[#This Row],[CURSO]],'[1]POS_EAD_0112 a 3101_CAMP. REG)'!$F$690:$H$915,3,FALSE)</f>
        <v>4</v>
      </c>
      <c r="AW10" s="69">
        <f>VLOOKUP(UNINASSAU[[#This Row],[CURSO]],'[1]POS_EAD_0112 a 3101_CAMP. REG)'!$F$690:$I$915,4,FALSE)</f>
        <v>7</v>
      </c>
      <c r="AX10" s="73">
        <f>VLOOKUP(UNINASSAU[[#This Row],[CURSO]],'[1]POS_EAD_0112 a 3101_CAMP. REG)'!$F$690:$J$915,5,FALSE)</f>
        <v>269.33202599999998</v>
      </c>
      <c r="AY10" s="72">
        <f>VLOOKUP(UNINASSAU[[#This Row],[CURSO]],'[1]POS_EAD_0112 a 3101_CAMP. REG)'!$F$690:$L$915,7,FALSE)</f>
        <v>0.45</v>
      </c>
      <c r="AZ10" s="73">
        <f>VLOOKUP(UNINASSAU[[#This Row],[CURSO]],'[1]POS_EAD_0112 a 3101_CAMP. REG)'!$F$690:$N$915,8,FALSE)</f>
        <v>133.32</v>
      </c>
      <c r="BA10" s="72">
        <f>VLOOKUP(UNINASSAU[[#This Row],[CURSO]],'[1]POS_EAD_0112 a 3101_CAMP. REG)'!$F$690:$P$915,11,FALSE)</f>
        <v>0.5</v>
      </c>
      <c r="BB10" s="73">
        <f>VLOOKUP(UNINASSAU[[#This Row],[CURSO]],'[1]POS_EAD_0112 a 3101_CAMP. REG)'!$F$690:$Q$915,12,FALSE)</f>
        <v>121.2</v>
      </c>
      <c r="BD10" s="104">
        <v>7</v>
      </c>
      <c r="BE10" s="121" t="s">
        <v>45</v>
      </c>
      <c r="BF10" s="69" t="s">
        <v>19</v>
      </c>
      <c r="BK10" s="63"/>
    </row>
    <row r="11" spans="1:72" x14ac:dyDescent="0.25">
      <c r="A11" s="47"/>
      <c r="B11" s="17"/>
      <c r="C11" s="17"/>
      <c r="D11" s="26" t="str">
        <f ca="1">IF($D$20=0,"","▶  Verifique se o curso está habilitado para oferta no seu polo de acordo com a marca")</f>
        <v>▶  Verifique se o curso está habilitado para oferta no seu polo de acordo com a marca</v>
      </c>
      <c r="E11" s="18"/>
      <c r="F11" s="18"/>
      <c r="G11" s="17"/>
      <c r="H11" s="17"/>
      <c r="I11" s="19"/>
      <c r="J11" s="1"/>
      <c r="L11" s="121" t="s">
        <v>254</v>
      </c>
      <c r="M11" s="69" t="s">
        <v>19</v>
      </c>
      <c r="N11" s="69" t="str">
        <f>VLOOKUP($L$4,'[1]POS_EAD_0112 a 3101_CAMP. REG)'!$F$5:$G$231,2,FALSE)</f>
        <v>Humanas</v>
      </c>
      <c r="O11" s="69">
        <f>VLOOKUP(L11,'[1]POS_EAD_0112 a 3101_CAMP. REG)'!$F$5:$H$231,3,FALSE)</f>
        <v>12</v>
      </c>
      <c r="P11" s="68">
        <f>VLOOKUP(L11,'[1]POS_EAD_0112 a 3101_CAMP. REG)'!$F$5:$I$231,4,FALSE)</f>
        <v>19</v>
      </c>
      <c r="Q11" s="73">
        <f>VLOOKUP(L11,'[1]POS_EAD_0112 a 3101_CAMP. REG)'!$F$5:$J$231,5,FALSE)</f>
        <v>277.58266800000001</v>
      </c>
      <c r="R11" s="124">
        <f>VLOOKUP(L11,'[1]POS_EAD_0112 a 3101_CAMP. REG)'!$F$5:$L$231,7,FALSE)</f>
        <v>0.45</v>
      </c>
      <c r="S11" s="73">
        <f>VLOOKUP(L11,'[1]POS_EAD_0112 a 3101_CAMP. REG)'!$F$5:$M$231,8,FALSE)</f>
        <v>137.4</v>
      </c>
      <c r="T11" s="124">
        <f>VLOOKUP(L11,'[1]POS_EAD_0112 a 3101_CAMP. REG)'!$F$5:$P$231,11,FALSE)</f>
        <v>0.5</v>
      </c>
      <c r="U11" s="73">
        <f>VLOOKUP(L11,'[1]POS_EAD_0112 a 3101_CAMP. REG)'!$F$5:$Q$231,12,FALSE)</f>
        <v>124.91</v>
      </c>
      <c r="W11" s="121" t="s">
        <v>254</v>
      </c>
      <c r="X11" s="69" t="s">
        <v>19</v>
      </c>
      <c r="Y11" s="69" t="str">
        <f>VLOOKUP(W11,'[1]POS_EAD_0112 a 3101_CAMP. REG)'!$F$231:$G$461,2,FALSE)</f>
        <v>Negócios</v>
      </c>
      <c r="Z11" s="68">
        <f>VLOOKUP(W11,'[1]POS_EAD_0112 a 3101_CAMP. REG)'!$F$231:$H$461,3,FALSE)</f>
        <v>12</v>
      </c>
      <c r="AA11" s="68">
        <f>VLOOKUP(W11,'[1]POS_EAD_0112 a 3101_CAMP. REG)'!$F$231:$I$461,4,FALSE)</f>
        <v>19</v>
      </c>
      <c r="AB11" s="73">
        <f>VLOOKUP(W11,'[1]POS_EAD_0112 a 3101_CAMP. REG)'!$F$231:$J$461,5,FALSE)</f>
        <v>277.58266800000001</v>
      </c>
      <c r="AC11" s="72">
        <f>VLOOKUP(W11,'[1]POS_EAD_0112 a 3101_CAMP. REG)'!$F$231:$L$461,7,FALSE)</f>
        <v>0.45</v>
      </c>
      <c r="AD11" s="73">
        <f>VLOOKUP(W11,'[1]POS_EAD_0112 a 3101_CAMP. REG)'!$F$231:$M$461,8,FALSE)</f>
        <v>137.4</v>
      </c>
      <c r="AE11" s="72">
        <f>VLOOKUP(W11,'[1]POS_EAD_0112 a 3101_CAMP. REG)'!$F$231:$P$461,11,FALSE)</f>
        <v>0.5</v>
      </c>
      <c r="AF11" s="73">
        <f>VLOOKUP(W11,'[1]POS_EAD_0112 a 3101_CAMP. REG)'!$F$231:$Q$461,12,FALSE)</f>
        <v>124.91</v>
      </c>
      <c r="AH11" s="121" t="s">
        <v>254</v>
      </c>
      <c r="AI11" s="69" t="s">
        <v>19</v>
      </c>
      <c r="AJ11" s="68" t="str">
        <f>VLOOKUP(UNG[[#This Row],[CURSO]],'[1]POS_EAD_0112 a 3101_CAMP. REG)'!$F$463:$G$688,2,FALSE)</f>
        <v>Negócios</v>
      </c>
      <c r="AK11" s="68">
        <f>VLOOKUP(UNG[[#This Row],[CURSO]],'[1]POS_EAD_0112 a 3101_CAMP. REG)'!$F$463:$H$688,3,FALSE)</f>
        <v>12</v>
      </c>
      <c r="AL11" s="68">
        <f>VLOOKUP(UNG[[#This Row],[CURSO]],'[1]POS_EAD_0112 a 3101_CAMP. REG)'!$F$463:$I$688,4,FALSE)</f>
        <v>19</v>
      </c>
      <c r="AM11" s="71">
        <f>VLOOKUP(UNG[[#This Row],[CURSO]],'[1]POS_EAD_0112 a 3101_CAMP. REG)'!$F$463:$J$688,5,FALSE)</f>
        <v>277.58266800000001</v>
      </c>
      <c r="AN11" s="124">
        <f>VLOOKUP(UNG[[#This Row],[CURSO]],'[1]POS_EAD_0112 a 3101_CAMP. REG)'!$F$463:$L$688,7,FALSE)</f>
        <v>0.45</v>
      </c>
      <c r="AO11" s="71">
        <f>VLOOKUP(UNG[[#This Row],[CURSO]],'[1]POS_EAD_0112 a 3101_CAMP. REG)'!$F$463:$M$688,8,FALSE)</f>
        <v>137.4</v>
      </c>
      <c r="AP11" s="124">
        <f>VLOOKUP(UNG[[#This Row],[CURSO]],'[1]POS_EAD_0112 a 3101_CAMP. REG)'!$F$463:$P$688,11,FALSE)</f>
        <v>0.5</v>
      </c>
      <c r="AQ11" s="71">
        <f>VLOOKUP(UNG[[#This Row],[CURSO]],'[1]POS_EAD_0112 a 3101_CAMP. REG)'!$F$463:$Q$688,12,FALSE)</f>
        <v>124.91</v>
      </c>
      <c r="AS11" s="121" t="s">
        <v>254</v>
      </c>
      <c r="AT11" s="69" t="s">
        <v>19</v>
      </c>
      <c r="AU11" s="69" t="str">
        <f>VLOOKUP(UNINASSAU[[#This Row],[CURSO]],'[1]POS_EAD_0112 a 3101_CAMP. REG)'!$F$690:$G$915,2,FALSE)</f>
        <v>Negócios</v>
      </c>
      <c r="AV11" s="69">
        <f>VLOOKUP(UNINASSAU[[#This Row],[CURSO]],'[1]POS_EAD_0112 a 3101_CAMP. REG)'!$F$690:$H$915,3,FALSE)</f>
        <v>12</v>
      </c>
      <c r="AW11" s="69">
        <f>VLOOKUP(UNINASSAU[[#This Row],[CURSO]],'[1]POS_EAD_0112 a 3101_CAMP. REG)'!$F$690:$I$915,4,FALSE)</f>
        <v>19</v>
      </c>
      <c r="AX11" s="73">
        <f>VLOOKUP(UNINASSAU[[#This Row],[CURSO]],'[1]POS_EAD_0112 a 3101_CAMP. REG)'!$F$690:$J$915,5,FALSE)</f>
        <v>277.58266800000001</v>
      </c>
      <c r="AY11" s="72">
        <f>VLOOKUP(UNINASSAU[[#This Row],[CURSO]],'[1]POS_EAD_0112 a 3101_CAMP. REG)'!$F$690:$L$915,7,FALSE)</f>
        <v>0.45</v>
      </c>
      <c r="AZ11" s="73">
        <f>VLOOKUP(UNINASSAU[[#This Row],[CURSO]],'[1]POS_EAD_0112 a 3101_CAMP. REG)'!$F$690:$N$915,8,FALSE)</f>
        <v>137.4</v>
      </c>
      <c r="BA11" s="72">
        <f>VLOOKUP(UNINASSAU[[#This Row],[CURSO]],'[1]POS_EAD_0112 a 3101_CAMP. REG)'!$F$690:$P$915,11,FALSE)</f>
        <v>0.5</v>
      </c>
      <c r="BB11" s="73">
        <f>VLOOKUP(UNINASSAU[[#This Row],[CURSO]],'[1]POS_EAD_0112 a 3101_CAMP. REG)'!$F$690:$Q$915,12,FALSE)</f>
        <v>124.91</v>
      </c>
      <c r="BD11" s="104">
        <v>8</v>
      </c>
      <c r="BE11" s="121" t="s">
        <v>254</v>
      </c>
      <c r="BF11" s="69" t="s">
        <v>19</v>
      </c>
      <c r="BK11" s="63"/>
    </row>
    <row r="12" spans="1:72" ht="16.5" x14ac:dyDescent="0.3">
      <c r="A12" s="47"/>
      <c r="B12" s="17"/>
      <c r="C12" s="17"/>
      <c r="D12" s="25" t="s">
        <v>24</v>
      </c>
      <c r="E12" s="37">
        <f ca="1">IFERROR(VLOOKUP($BG$1,INDIRECT($BK$1),4,FALSE),"")</f>
        <v>12</v>
      </c>
      <c r="F12" s="27" t="s">
        <v>25</v>
      </c>
      <c r="G12" s="38" t="str">
        <f ca="1">IFERROR(VLOOKUP($BG$1,INDIRECT($BK$1),3,FALSE),"")</f>
        <v>Humanas</v>
      </c>
      <c r="H12" s="7"/>
      <c r="I12" s="19"/>
      <c r="J12" s="1"/>
      <c r="L12" s="121" t="s">
        <v>360</v>
      </c>
      <c r="M12" s="69" t="s">
        <v>19</v>
      </c>
      <c r="N12" s="69" t="str">
        <f>VLOOKUP($L$4,'[1]POS_EAD_0112 a 3101_CAMP. REG)'!$F$5:$G$231,2,FALSE)</f>
        <v>Humanas</v>
      </c>
      <c r="O12" s="69">
        <f>VLOOKUP(L12,'[1]POS_EAD_0112 a 3101_CAMP. REG)'!$F$5:$H$231,3,FALSE)</f>
        <v>12</v>
      </c>
      <c r="P12" s="68">
        <f>VLOOKUP(L12,'[1]POS_EAD_0112 a 3101_CAMP. REG)'!$F$5:$I$231,4,FALSE)</f>
        <v>19</v>
      </c>
      <c r="Q12" s="73">
        <f>VLOOKUP(L12,'[1]POS_EAD_0112 a 3101_CAMP. REG)'!$F$5:$J$231,5,FALSE)</f>
        <v>277.58266800000001</v>
      </c>
      <c r="R12" s="124">
        <f>VLOOKUP(L12,'[1]POS_EAD_0112 a 3101_CAMP. REG)'!$F$5:$L$231,7,FALSE)</f>
        <v>0.45</v>
      </c>
      <c r="S12" s="73">
        <f>VLOOKUP(L12,'[1]POS_EAD_0112 a 3101_CAMP. REG)'!$F$5:$M$231,8,FALSE)</f>
        <v>137.4</v>
      </c>
      <c r="T12" s="124">
        <f>VLOOKUP(L12,'[1]POS_EAD_0112 a 3101_CAMP. REG)'!$F$5:$P$231,11,FALSE)</f>
        <v>0.5</v>
      </c>
      <c r="U12" s="73">
        <f>VLOOKUP(L12,'[1]POS_EAD_0112 a 3101_CAMP. REG)'!$F$5:$Q$231,12,FALSE)</f>
        <v>124.91</v>
      </c>
      <c r="W12" s="121" t="s">
        <v>360</v>
      </c>
      <c r="X12" s="69" t="s">
        <v>19</v>
      </c>
      <c r="Y12" s="69" t="str">
        <f>VLOOKUP(W12,'[1]POS_EAD_0112 a 3101_CAMP. REG)'!$F$231:$G$461,2,FALSE)</f>
        <v>Negócios</v>
      </c>
      <c r="Z12" s="68">
        <f>VLOOKUP(W12,'[1]POS_EAD_0112 a 3101_CAMP. REG)'!$F$231:$H$461,3,FALSE)</f>
        <v>12</v>
      </c>
      <c r="AA12" s="68">
        <f>VLOOKUP(W12,'[1]POS_EAD_0112 a 3101_CAMP. REG)'!$F$231:$I$461,4,FALSE)</f>
        <v>19</v>
      </c>
      <c r="AB12" s="73">
        <f>VLOOKUP(W12,'[1]POS_EAD_0112 a 3101_CAMP. REG)'!$F$231:$J$461,5,FALSE)</f>
        <v>300.91749900000002</v>
      </c>
      <c r="AC12" s="72">
        <f>VLOOKUP(W12,'[1]POS_EAD_0112 a 3101_CAMP. REG)'!$F$231:$L$461,7,FALSE)</f>
        <v>0.45</v>
      </c>
      <c r="AD12" s="73">
        <f>VLOOKUP(W12,'[1]POS_EAD_0112 a 3101_CAMP. REG)'!$F$231:$M$461,8,FALSE)</f>
        <v>148.94999999999999</v>
      </c>
      <c r="AE12" s="72">
        <f>VLOOKUP(W12,'[1]POS_EAD_0112 a 3101_CAMP. REG)'!$F$231:$P$461,11,FALSE)</f>
        <v>0.5</v>
      </c>
      <c r="AF12" s="73">
        <f>VLOOKUP(W12,'[1]POS_EAD_0112 a 3101_CAMP. REG)'!$F$231:$Q$461,12,FALSE)</f>
        <v>135.41</v>
      </c>
      <c r="AH12" s="121" t="s">
        <v>360</v>
      </c>
      <c r="AI12" s="69" t="s">
        <v>19</v>
      </c>
      <c r="AJ12" s="68" t="str">
        <f>VLOOKUP(UNG[[#This Row],[CURSO]],'[1]POS_EAD_0112 a 3101_CAMP. REG)'!$F$463:$G$688,2,FALSE)</f>
        <v>Negócios</v>
      </c>
      <c r="AK12" s="68">
        <f>VLOOKUP(UNG[[#This Row],[CURSO]],'[1]POS_EAD_0112 a 3101_CAMP. REG)'!$F$463:$H$688,3,FALSE)</f>
        <v>12</v>
      </c>
      <c r="AL12" s="68">
        <f>VLOOKUP(UNG[[#This Row],[CURSO]],'[1]POS_EAD_0112 a 3101_CAMP. REG)'!$F$463:$I$688,4,FALSE)</f>
        <v>19</v>
      </c>
      <c r="AM12" s="71">
        <f>VLOOKUP(UNG[[#This Row],[CURSO]],'[1]POS_EAD_0112 a 3101_CAMP. REG)'!$F$463:$J$688,5,FALSE)</f>
        <v>277.58266800000001</v>
      </c>
      <c r="AN12" s="124">
        <f>VLOOKUP(UNG[[#This Row],[CURSO]],'[1]POS_EAD_0112 a 3101_CAMP. REG)'!$F$463:$L$688,7,FALSE)</f>
        <v>0.45</v>
      </c>
      <c r="AO12" s="71">
        <f>VLOOKUP(UNG[[#This Row],[CURSO]],'[1]POS_EAD_0112 a 3101_CAMP. REG)'!$F$463:$M$688,8,FALSE)</f>
        <v>137.4</v>
      </c>
      <c r="AP12" s="124">
        <f>VLOOKUP(UNG[[#This Row],[CURSO]],'[1]POS_EAD_0112 a 3101_CAMP. REG)'!$F$463:$P$688,11,FALSE)</f>
        <v>0.5</v>
      </c>
      <c r="AQ12" s="71">
        <f>VLOOKUP(UNG[[#This Row],[CURSO]],'[1]POS_EAD_0112 a 3101_CAMP. REG)'!$F$463:$Q$688,12,FALSE)</f>
        <v>124.91</v>
      </c>
      <c r="AS12" s="121" t="s">
        <v>360</v>
      </c>
      <c r="AT12" s="69" t="s">
        <v>19</v>
      </c>
      <c r="AU12" s="69" t="str">
        <f>VLOOKUP(UNINASSAU[[#This Row],[CURSO]],'[1]POS_EAD_0112 a 3101_CAMP. REG)'!$F$690:$G$915,2,FALSE)</f>
        <v>Negócios</v>
      </c>
      <c r="AV12" s="69">
        <f>VLOOKUP(UNINASSAU[[#This Row],[CURSO]],'[1]POS_EAD_0112 a 3101_CAMP. REG)'!$F$690:$H$915,3,FALSE)</f>
        <v>12</v>
      </c>
      <c r="AW12" s="69">
        <f>VLOOKUP(UNINASSAU[[#This Row],[CURSO]],'[1]POS_EAD_0112 a 3101_CAMP. REG)'!$F$690:$I$915,4,FALSE)</f>
        <v>19</v>
      </c>
      <c r="AX12" s="73">
        <f>VLOOKUP(UNINASSAU[[#This Row],[CURSO]],'[1]POS_EAD_0112 a 3101_CAMP. REG)'!$F$690:$J$915,5,FALSE)</f>
        <v>277.58266800000001</v>
      </c>
      <c r="AY12" s="72">
        <f>VLOOKUP(UNINASSAU[[#This Row],[CURSO]],'[1]POS_EAD_0112 a 3101_CAMP. REG)'!$F$690:$L$915,7,FALSE)</f>
        <v>0.45</v>
      </c>
      <c r="AZ12" s="73">
        <f>VLOOKUP(UNINASSAU[[#This Row],[CURSO]],'[1]POS_EAD_0112 a 3101_CAMP. REG)'!$F$690:$N$915,8,FALSE)</f>
        <v>137.4</v>
      </c>
      <c r="BA12" s="72">
        <f>VLOOKUP(UNINASSAU[[#This Row],[CURSO]],'[1]POS_EAD_0112 a 3101_CAMP. REG)'!$F$690:$P$915,11,FALSE)</f>
        <v>0.5</v>
      </c>
      <c r="BB12" s="73">
        <f>VLOOKUP(UNINASSAU[[#This Row],[CURSO]],'[1]POS_EAD_0112 a 3101_CAMP. REG)'!$F$690:$Q$915,12,FALSE)</f>
        <v>124.91</v>
      </c>
      <c r="BD12" s="104">
        <v>9</v>
      </c>
      <c r="BE12" s="121" t="s">
        <v>360</v>
      </c>
      <c r="BF12" s="69" t="s">
        <v>19</v>
      </c>
      <c r="BJ12" s="64"/>
    </row>
    <row r="13" spans="1:72" x14ac:dyDescent="0.25">
      <c r="A13" s="47"/>
      <c r="B13" s="17"/>
      <c r="C13" s="17"/>
      <c r="D13" s="17"/>
      <c r="E13" s="17"/>
      <c r="F13" s="18"/>
      <c r="G13" s="17"/>
      <c r="H13" s="17"/>
      <c r="I13" s="19"/>
      <c r="J13" s="1"/>
      <c r="L13" s="121" t="s">
        <v>250</v>
      </c>
      <c r="M13" s="69" t="s">
        <v>19</v>
      </c>
      <c r="N13" s="69" t="str">
        <f>VLOOKUP($L$4,'[1]POS_EAD_0112 a 3101_CAMP. REG)'!$F$5:$G$231,2,FALSE)</f>
        <v>Humanas</v>
      </c>
      <c r="O13" s="69">
        <f>VLOOKUP(L13,'[1]POS_EAD_0112 a 3101_CAMP. REG)'!$F$5:$H$231,3,FALSE)</f>
        <v>12</v>
      </c>
      <c r="P13" s="68">
        <f>VLOOKUP(L13,'[1]POS_EAD_0112 a 3101_CAMP. REG)'!$F$5:$I$231,4,FALSE)</f>
        <v>19</v>
      </c>
      <c r="Q13" s="73">
        <f>VLOOKUP(L13,'[1]POS_EAD_0112 a 3101_CAMP. REG)'!$F$5:$J$231,5,FALSE)</f>
        <v>277.58266800000001</v>
      </c>
      <c r="R13" s="124">
        <f>VLOOKUP(L13,'[1]POS_EAD_0112 a 3101_CAMP. REG)'!$F$5:$L$231,7,FALSE)</f>
        <v>0.45</v>
      </c>
      <c r="S13" s="73">
        <f>VLOOKUP(L13,'[1]POS_EAD_0112 a 3101_CAMP. REG)'!$F$5:$M$231,8,FALSE)</f>
        <v>137.4</v>
      </c>
      <c r="T13" s="124">
        <f>VLOOKUP(L13,'[1]POS_EAD_0112 a 3101_CAMP. REG)'!$F$5:$P$231,11,FALSE)</f>
        <v>0.5</v>
      </c>
      <c r="U13" s="73">
        <f>VLOOKUP(L13,'[1]POS_EAD_0112 a 3101_CAMP. REG)'!$F$5:$Q$231,12,FALSE)</f>
        <v>124.91</v>
      </c>
      <c r="W13" s="121" t="s">
        <v>250</v>
      </c>
      <c r="X13" s="69" t="s">
        <v>19</v>
      </c>
      <c r="Y13" s="69" t="str">
        <f>VLOOKUP(W13,'[1]POS_EAD_0112 a 3101_CAMP. REG)'!$F$231:$G$461,2,FALSE)</f>
        <v>Negócios</v>
      </c>
      <c r="Z13" s="68">
        <f>VLOOKUP(W13,'[1]POS_EAD_0112 a 3101_CAMP. REG)'!$F$231:$H$461,3,FALSE)</f>
        <v>12</v>
      </c>
      <c r="AA13" s="68">
        <f>VLOOKUP(W13,'[1]POS_EAD_0112 a 3101_CAMP. REG)'!$F$231:$I$461,4,FALSE)</f>
        <v>19</v>
      </c>
      <c r="AB13" s="73">
        <f>VLOOKUP(W13,'[1]POS_EAD_0112 a 3101_CAMP. REG)'!$F$231:$J$461,5,FALSE)</f>
        <v>300.91749900000002</v>
      </c>
      <c r="AC13" s="72">
        <f>VLOOKUP(W13,'[1]POS_EAD_0112 a 3101_CAMP. REG)'!$F$231:$L$461,7,FALSE)</f>
        <v>0.45</v>
      </c>
      <c r="AD13" s="73">
        <f>VLOOKUP(W13,'[1]POS_EAD_0112 a 3101_CAMP. REG)'!$F$231:$M$461,8,FALSE)</f>
        <v>148.94999999999999</v>
      </c>
      <c r="AE13" s="72">
        <f>VLOOKUP(W13,'[1]POS_EAD_0112 a 3101_CAMP. REG)'!$F$231:$P$461,11,FALSE)</f>
        <v>0.5</v>
      </c>
      <c r="AF13" s="73">
        <f>VLOOKUP(W13,'[1]POS_EAD_0112 a 3101_CAMP. REG)'!$F$231:$Q$461,12,FALSE)</f>
        <v>135.41</v>
      </c>
      <c r="AH13" s="121" t="s">
        <v>250</v>
      </c>
      <c r="AI13" s="69" t="s">
        <v>19</v>
      </c>
      <c r="AJ13" s="68" t="str">
        <f>VLOOKUP(UNG[[#This Row],[CURSO]],'[1]POS_EAD_0112 a 3101_CAMP. REG)'!$F$463:$G$688,2,FALSE)</f>
        <v>Negócios</v>
      </c>
      <c r="AK13" s="68">
        <f>VLOOKUP(UNG[[#This Row],[CURSO]],'[1]POS_EAD_0112 a 3101_CAMP. REG)'!$F$463:$H$688,3,FALSE)</f>
        <v>12</v>
      </c>
      <c r="AL13" s="68">
        <f>VLOOKUP(UNG[[#This Row],[CURSO]],'[1]POS_EAD_0112 a 3101_CAMP. REG)'!$F$463:$I$688,4,FALSE)</f>
        <v>19</v>
      </c>
      <c r="AM13" s="71">
        <f>VLOOKUP(UNG[[#This Row],[CURSO]],'[1]POS_EAD_0112 a 3101_CAMP. REG)'!$F$463:$J$688,5,FALSE)</f>
        <v>277.58266800000001</v>
      </c>
      <c r="AN13" s="124">
        <f>VLOOKUP(UNG[[#This Row],[CURSO]],'[1]POS_EAD_0112 a 3101_CAMP. REG)'!$F$463:$L$688,7,FALSE)</f>
        <v>0.45</v>
      </c>
      <c r="AO13" s="71">
        <f>VLOOKUP(UNG[[#This Row],[CURSO]],'[1]POS_EAD_0112 a 3101_CAMP. REG)'!$F$463:$M$688,8,FALSE)</f>
        <v>137.4</v>
      </c>
      <c r="AP13" s="124">
        <f>VLOOKUP(UNG[[#This Row],[CURSO]],'[1]POS_EAD_0112 a 3101_CAMP. REG)'!$F$463:$P$688,11,FALSE)</f>
        <v>0.5</v>
      </c>
      <c r="AQ13" s="71">
        <f>VLOOKUP(UNG[[#This Row],[CURSO]],'[1]POS_EAD_0112 a 3101_CAMP. REG)'!$F$463:$Q$688,12,FALSE)</f>
        <v>124.91</v>
      </c>
      <c r="AS13" s="121" t="s">
        <v>250</v>
      </c>
      <c r="AT13" s="69" t="s">
        <v>19</v>
      </c>
      <c r="AU13" s="69" t="str">
        <f>VLOOKUP(UNINASSAU[[#This Row],[CURSO]],'[1]POS_EAD_0112 a 3101_CAMP. REG)'!$F$690:$G$915,2,FALSE)</f>
        <v>Negócios</v>
      </c>
      <c r="AV13" s="69">
        <f>VLOOKUP(UNINASSAU[[#This Row],[CURSO]],'[1]POS_EAD_0112 a 3101_CAMP. REG)'!$F$690:$H$915,3,FALSE)</f>
        <v>12</v>
      </c>
      <c r="AW13" s="69">
        <f>VLOOKUP(UNINASSAU[[#This Row],[CURSO]],'[1]POS_EAD_0112 a 3101_CAMP. REG)'!$F$690:$I$915,4,FALSE)</f>
        <v>19</v>
      </c>
      <c r="AX13" s="73">
        <f>VLOOKUP(UNINASSAU[[#This Row],[CURSO]],'[1]POS_EAD_0112 a 3101_CAMP. REG)'!$F$690:$J$915,5,FALSE)</f>
        <v>277.58266800000001</v>
      </c>
      <c r="AY13" s="72">
        <f>VLOOKUP(UNINASSAU[[#This Row],[CURSO]],'[1]POS_EAD_0112 a 3101_CAMP. REG)'!$F$690:$L$915,7,FALSE)</f>
        <v>0.45</v>
      </c>
      <c r="AZ13" s="73">
        <f>VLOOKUP(UNINASSAU[[#This Row],[CURSO]],'[1]POS_EAD_0112 a 3101_CAMP. REG)'!$F$690:$N$915,8,FALSE)</f>
        <v>137.4</v>
      </c>
      <c r="BA13" s="72">
        <f>VLOOKUP(UNINASSAU[[#This Row],[CURSO]],'[1]POS_EAD_0112 a 3101_CAMP. REG)'!$F$690:$P$915,11,FALSE)</f>
        <v>0.5</v>
      </c>
      <c r="BB13" s="73">
        <f>VLOOKUP(UNINASSAU[[#This Row],[CURSO]],'[1]POS_EAD_0112 a 3101_CAMP. REG)'!$F$690:$Q$915,12,FALSE)</f>
        <v>124.91</v>
      </c>
      <c r="BD13" s="104">
        <v>10</v>
      </c>
      <c r="BE13" s="121" t="s">
        <v>250</v>
      </c>
      <c r="BF13" s="69" t="s">
        <v>19</v>
      </c>
    </row>
    <row r="14" spans="1:72" ht="16.5" x14ac:dyDescent="0.3">
      <c r="A14" s="47"/>
      <c r="B14" s="17"/>
      <c r="C14" s="17"/>
      <c r="D14" s="166" t="s">
        <v>26</v>
      </c>
      <c r="E14" s="166"/>
      <c r="F14" s="166"/>
      <c r="G14" s="166"/>
      <c r="H14" s="17"/>
      <c r="I14" s="19"/>
      <c r="J14" s="1"/>
      <c r="L14" s="121" t="s">
        <v>46</v>
      </c>
      <c r="M14" s="69" t="s">
        <v>19</v>
      </c>
      <c r="N14" s="69" t="str">
        <f>VLOOKUP($L$4,'[1]POS_EAD_0112 a 3101_CAMP. REG)'!$F$5:$G$231,2,FALSE)</f>
        <v>Humanas</v>
      </c>
      <c r="O14" s="69">
        <f>VLOOKUP(L14,'[1]POS_EAD_0112 a 3101_CAMP. REG)'!$F$5:$H$231,3,FALSE)</f>
        <v>12</v>
      </c>
      <c r="P14" s="68">
        <f>VLOOKUP(L14,'[1]POS_EAD_0112 a 3101_CAMP. REG)'!$F$5:$I$231,4,FALSE)</f>
        <v>19</v>
      </c>
      <c r="Q14" s="73">
        <f>VLOOKUP(L14,'[1]POS_EAD_0112 a 3101_CAMP. REG)'!$F$5:$J$231,5,FALSE)</f>
        <v>277.58266800000001</v>
      </c>
      <c r="R14" s="124">
        <f>VLOOKUP(L14,'[1]POS_EAD_0112 a 3101_CAMP. REG)'!$F$5:$L$231,7,FALSE)</f>
        <v>0.45</v>
      </c>
      <c r="S14" s="73">
        <f>VLOOKUP(L14,'[1]POS_EAD_0112 a 3101_CAMP. REG)'!$F$5:$M$231,8,FALSE)</f>
        <v>137.4</v>
      </c>
      <c r="T14" s="124">
        <f>VLOOKUP(L14,'[1]POS_EAD_0112 a 3101_CAMP. REG)'!$F$5:$P$231,11,FALSE)</f>
        <v>0.5</v>
      </c>
      <c r="U14" s="73">
        <f>VLOOKUP(L14,'[1]POS_EAD_0112 a 3101_CAMP. REG)'!$F$5:$Q$231,12,FALSE)</f>
        <v>124.91</v>
      </c>
      <c r="W14" s="121" t="s">
        <v>46</v>
      </c>
      <c r="X14" s="69" t="s">
        <v>19</v>
      </c>
      <c r="Y14" s="69" t="str">
        <f>VLOOKUP(W14,'[1]POS_EAD_0112 a 3101_CAMP. REG)'!$F$231:$G$461,2,FALSE)</f>
        <v>Negócios</v>
      </c>
      <c r="Z14" s="68">
        <f>VLOOKUP(W14,'[1]POS_EAD_0112 a 3101_CAMP. REG)'!$F$231:$H$461,3,FALSE)</f>
        <v>12</v>
      </c>
      <c r="AA14" s="68">
        <f>VLOOKUP(W14,'[1]POS_EAD_0112 a 3101_CAMP. REG)'!$F$231:$I$461,4,FALSE)</f>
        <v>19</v>
      </c>
      <c r="AB14" s="73">
        <f>VLOOKUP(W14,'[1]POS_EAD_0112 a 3101_CAMP. REG)'!$F$231:$J$461,5,FALSE)</f>
        <v>300.91749900000002</v>
      </c>
      <c r="AC14" s="72">
        <f>VLOOKUP(W14,'[1]POS_EAD_0112 a 3101_CAMP. REG)'!$F$231:$L$461,7,FALSE)</f>
        <v>0.45</v>
      </c>
      <c r="AD14" s="73">
        <f>VLOOKUP(W14,'[1]POS_EAD_0112 a 3101_CAMP. REG)'!$F$231:$M$461,8,FALSE)</f>
        <v>148.94999999999999</v>
      </c>
      <c r="AE14" s="72">
        <f>VLOOKUP(W14,'[1]POS_EAD_0112 a 3101_CAMP. REG)'!$F$231:$P$461,11,FALSE)</f>
        <v>0.5</v>
      </c>
      <c r="AF14" s="73">
        <f>VLOOKUP(W14,'[1]POS_EAD_0112 a 3101_CAMP. REG)'!$F$231:$Q$461,12,FALSE)</f>
        <v>135.41</v>
      </c>
      <c r="AH14" s="121" t="s">
        <v>46</v>
      </c>
      <c r="AI14" s="69" t="s">
        <v>19</v>
      </c>
      <c r="AJ14" s="68" t="str">
        <f>VLOOKUP(UNG[[#This Row],[CURSO]],'[1]POS_EAD_0112 a 3101_CAMP. REG)'!$F$463:$G$688,2,FALSE)</f>
        <v>Negócios</v>
      </c>
      <c r="AK14" s="68">
        <f>VLOOKUP(UNG[[#This Row],[CURSO]],'[1]POS_EAD_0112 a 3101_CAMP. REG)'!$F$463:$H$688,3,FALSE)</f>
        <v>12</v>
      </c>
      <c r="AL14" s="68">
        <f>VLOOKUP(UNG[[#This Row],[CURSO]],'[1]POS_EAD_0112 a 3101_CAMP. REG)'!$F$463:$I$688,4,FALSE)</f>
        <v>19</v>
      </c>
      <c r="AM14" s="71">
        <f>VLOOKUP(UNG[[#This Row],[CURSO]],'[1]POS_EAD_0112 a 3101_CAMP. REG)'!$F$463:$J$688,5,FALSE)</f>
        <v>277.58266800000001</v>
      </c>
      <c r="AN14" s="124">
        <f>VLOOKUP(UNG[[#This Row],[CURSO]],'[1]POS_EAD_0112 a 3101_CAMP. REG)'!$F$463:$L$688,7,FALSE)</f>
        <v>0.45</v>
      </c>
      <c r="AO14" s="71">
        <f>VLOOKUP(UNG[[#This Row],[CURSO]],'[1]POS_EAD_0112 a 3101_CAMP. REG)'!$F$463:$M$688,8,FALSE)</f>
        <v>137.4</v>
      </c>
      <c r="AP14" s="124">
        <f>VLOOKUP(UNG[[#This Row],[CURSO]],'[1]POS_EAD_0112 a 3101_CAMP. REG)'!$F$463:$P$688,11,FALSE)</f>
        <v>0.5</v>
      </c>
      <c r="AQ14" s="71">
        <f>VLOOKUP(UNG[[#This Row],[CURSO]],'[1]POS_EAD_0112 a 3101_CAMP. REG)'!$F$463:$Q$688,12,FALSE)</f>
        <v>124.91</v>
      </c>
      <c r="AS14" s="121" t="s">
        <v>46</v>
      </c>
      <c r="AT14" s="69" t="s">
        <v>19</v>
      </c>
      <c r="AU14" s="69" t="str">
        <f>VLOOKUP(UNINASSAU[[#This Row],[CURSO]],'[1]POS_EAD_0112 a 3101_CAMP. REG)'!$F$690:$G$915,2,FALSE)</f>
        <v>Negócios</v>
      </c>
      <c r="AV14" s="69">
        <f>VLOOKUP(UNINASSAU[[#This Row],[CURSO]],'[1]POS_EAD_0112 a 3101_CAMP. REG)'!$F$690:$H$915,3,FALSE)</f>
        <v>12</v>
      </c>
      <c r="AW14" s="69">
        <f>VLOOKUP(UNINASSAU[[#This Row],[CURSO]],'[1]POS_EAD_0112 a 3101_CAMP. REG)'!$F$690:$I$915,4,FALSE)</f>
        <v>19</v>
      </c>
      <c r="AX14" s="73">
        <f>VLOOKUP(UNINASSAU[[#This Row],[CURSO]],'[1]POS_EAD_0112 a 3101_CAMP. REG)'!$F$690:$J$915,5,FALSE)</f>
        <v>277.58266800000001</v>
      </c>
      <c r="AY14" s="72">
        <f>VLOOKUP(UNINASSAU[[#This Row],[CURSO]],'[1]POS_EAD_0112 a 3101_CAMP. REG)'!$F$690:$L$915,7,FALSE)</f>
        <v>0.45</v>
      </c>
      <c r="AZ14" s="73">
        <f>VLOOKUP(UNINASSAU[[#This Row],[CURSO]],'[1]POS_EAD_0112 a 3101_CAMP. REG)'!$F$690:$N$915,8,FALSE)</f>
        <v>137.4</v>
      </c>
      <c r="BA14" s="72">
        <f>VLOOKUP(UNINASSAU[[#This Row],[CURSO]],'[1]POS_EAD_0112 a 3101_CAMP. REG)'!$F$690:$P$915,11,FALSE)</f>
        <v>0.5</v>
      </c>
      <c r="BB14" s="73">
        <f>VLOOKUP(UNINASSAU[[#This Row],[CURSO]],'[1]POS_EAD_0112 a 3101_CAMP. REG)'!$F$690:$Q$915,12,FALSE)</f>
        <v>124.91</v>
      </c>
      <c r="BD14" s="104">
        <v>11</v>
      </c>
      <c r="BE14" s="121" t="s">
        <v>46</v>
      </c>
      <c r="BF14" s="69" t="s">
        <v>19</v>
      </c>
    </row>
    <row r="15" spans="1:72" x14ac:dyDescent="0.25">
      <c r="A15" s="48"/>
      <c r="B15" s="28"/>
      <c r="C15" s="28"/>
      <c r="D15" s="39" t="s">
        <v>27</v>
      </c>
      <c r="E15" s="169" t="s">
        <v>28</v>
      </c>
      <c r="F15" s="169"/>
      <c r="G15" s="40" t="s">
        <v>29</v>
      </c>
      <c r="H15" s="28"/>
      <c r="I15" s="29"/>
      <c r="J15" s="8"/>
      <c r="K15" s="69"/>
      <c r="L15" s="121" t="s">
        <v>42</v>
      </c>
      <c r="M15" s="69" t="s">
        <v>19</v>
      </c>
      <c r="N15" s="69" t="str">
        <f>VLOOKUP($L$4,'[1]POS_EAD_0112 a 3101_CAMP. REG)'!$F$5:$G$231,2,FALSE)</f>
        <v>Humanas</v>
      </c>
      <c r="O15" s="69">
        <f>VLOOKUP(L15,'[1]POS_EAD_0112 a 3101_CAMP. REG)'!$F$5:$H$231,3,FALSE)</f>
        <v>12</v>
      </c>
      <c r="P15" s="68">
        <f>VLOOKUP(L15,'[1]POS_EAD_0112 a 3101_CAMP. REG)'!$F$5:$I$231,4,FALSE)</f>
        <v>19</v>
      </c>
      <c r="Q15" s="73">
        <f>VLOOKUP(L15,'[1]POS_EAD_0112 a 3101_CAMP. REG)'!$F$5:$J$231,5,FALSE)</f>
        <v>277.58266800000001</v>
      </c>
      <c r="R15" s="124">
        <f>VLOOKUP(L15,'[1]POS_EAD_0112 a 3101_CAMP. REG)'!$F$5:$L$231,7,FALSE)</f>
        <v>0.45</v>
      </c>
      <c r="S15" s="73">
        <f>VLOOKUP(L15,'[1]POS_EAD_0112 a 3101_CAMP. REG)'!$F$5:$M$231,8,FALSE)</f>
        <v>137.4</v>
      </c>
      <c r="T15" s="124">
        <f>VLOOKUP(L15,'[1]POS_EAD_0112 a 3101_CAMP. REG)'!$F$5:$P$231,11,FALSE)</f>
        <v>0.5</v>
      </c>
      <c r="U15" s="73">
        <f>VLOOKUP(L15,'[1]POS_EAD_0112 a 3101_CAMP. REG)'!$F$5:$Q$231,12,FALSE)</f>
        <v>124.91</v>
      </c>
      <c r="W15" s="121" t="s">
        <v>42</v>
      </c>
      <c r="X15" s="69" t="s">
        <v>19</v>
      </c>
      <c r="Y15" s="69" t="str">
        <f>VLOOKUP(W15,'[1]POS_EAD_0112 a 3101_CAMP. REG)'!$F$231:$G$461,2,FALSE)</f>
        <v>Negócios</v>
      </c>
      <c r="Z15" s="68">
        <f>VLOOKUP(W15,'[1]POS_EAD_0112 a 3101_CAMP. REG)'!$F$231:$H$461,3,FALSE)</f>
        <v>12</v>
      </c>
      <c r="AA15" s="68">
        <f>VLOOKUP(W15,'[1]POS_EAD_0112 a 3101_CAMP. REG)'!$F$231:$I$461,4,FALSE)</f>
        <v>19</v>
      </c>
      <c r="AB15" s="73">
        <f>VLOOKUP(W15,'[1]POS_EAD_0112 a 3101_CAMP. REG)'!$F$231:$J$461,5,FALSE)</f>
        <v>300.91749900000002</v>
      </c>
      <c r="AC15" s="72">
        <f>VLOOKUP(W15,'[1]POS_EAD_0112 a 3101_CAMP. REG)'!$F$231:$L$461,7,FALSE)</f>
        <v>0.45</v>
      </c>
      <c r="AD15" s="73">
        <f>VLOOKUP(W15,'[1]POS_EAD_0112 a 3101_CAMP. REG)'!$F$231:$M$461,8,FALSE)</f>
        <v>148.94999999999999</v>
      </c>
      <c r="AE15" s="72">
        <f>VLOOKUP(W15,'[1]POS_EAD_0112 a 3101_CAMP. REG)'!$F$231:$P$461,11,FALSE)</f>
        <v>0.5</v>
      </c>
      <c r="AF15" s="73">
        <f>VLOOKUP(W15,'[1]POS_EAD_0112 a 3101_CAMP. REG)'!$F$231:$Q$461,12,FALSE)</f>
        <v>135.41</v>
      </c>
      <c r="AH15" s="121" t="s">
        <v>42</v>
      </c>
      <c r="AI15" s="69" t="s">
        <v>19</v>
      </c>
      <c r="AJ15" s="68" t="str">
        <f>VLOOKUP(UNG[[#This Row],[CURSO]],'[1]POS_EAD_0112 a 3101_CAMP. REG)'!$F$463:$G$688,2,FALSE)</f>
        <v>Negócios</v>
      </c>
      <c r="AK15" s="68">
        <f>VLOOKUP(UNG[[#This Row],[CURSO]],'[1]POS_EAD_0112 a 3101_CAMP. REG)'!$F$463:$H$688,3,FALSE)</f>
        <v>12</v>
      </c>
      <c r="AL15" s="68">
        <f>VLOOKUP(UNG[[#This Row],[CURSO]],'[1]POS_EAD_0112 a 3101_CAMP. REG)'!$F$463:$I$688,4,FALSE)</f>
        <v>19</v>
      </c>
      <c r="AM15" s="71">
        <f>VLOOKUP(UNG[[#This Row],[CURSO]],'[1]POS_EAD_0112 a 3101_CAMP. REG)'!$F$463:$J$688,5,FALSE)</f>
        <v>277.58266800000001</v>
      </c>
      <c r="AN15" s="124">
        <f>VLOOKUP(UNG[[#This Row],[CURSO]],'[1]POS_EAD_0112 a 3101_CAMP. REG)'!$F$463:$L$688,7,FALSE)</f>
        <v>0.45</v>
      </c>
      <c r="AO15" s="71">
        <f>VLOOKUP(UNG[[#This Row],[CURSO]],'[1]POS_EAD_0112 a 3101_CAMP. REG)'!$F$463:$M$688,8,FALSE)</f>
        <v>137.4</v>
      </c>
      <c r="AP15" s="124">
        <f>VLOOKUP(UNG[[#This Row],[CURSO]],'[1]POS_EAD_0112 a 3101_CAMP. REG)'!$F$463:$P$688,11,FALSE)</f>
        <v>0.5</v>
      </c>
      <c r="AQ15" s="71">
        <f>VLOOKUP(UNG[[#This Row],[CURSO]],'[1]POS_EAD_0112 a 3101_CAMP. REG)'!$F$463:$Q$688,12,FALSE)</f>
        <v>124.91</v>
      </c>
      <c r="AS15" s="121" t="s">
        <v>42</v>
      </c>
      <c r="AT15" s="69" t="s">
        <v>19</v>
      </c>
      <c r="AU15" s="69" t="str">
        <f>VLOOKUP(UNINASSAU[[#This Row],[CURSO]],'[1]POS_EAD_0112 a 3101_CAMP. REG)'!$F$690:$G$915,2,FALSE)</f>
        <v>Negócios</v>
      </c>
      <c r="AV15" s="69">
        <f>VLOOKUP(UNINASSAU[[#This Row],[CURSO]],'[1]POS_EAD_0112 a 3101_CAMP. REG)'!$F$690:$H$915,3,FALSE)</f>
        <v>12</v>
      </c>
      <c r="AW15" s="69">
        <f>VLOOKUP(UNINASSAU[[#This Row],[CURSO]],'[1]POS_EAD_0112 a 3101_CAMP. REG)'!$F$690:$I$915,4,FALSE)</f>
        <v>19</v>
      </c>
      <c r="AX15" s="73">
        <f>VLOOKUP(UNINASSAU[[#This Row],[CURSO]],'[1]POS_EAD_0112 a 3101_CAMP. REG)'!$F$690:$J$915,5,FALSE)</f>
        <v>277.58266800000001</v>
      </c>
      <c r="AY15" s="72">
        <f>VLOOKUP(UNINASSAU[[#This Row],[CURSO]],'[1]POS_EAD_0112 a 3101_CAMP. REG)'!$F$690:$L$915,7,FALSE)</f>
        <v>0.45</v>
      </c>
      <c r="AZ15" s="73">
        <f>VLOOKUP(UNINASSAU[[#This Row],[CURSO]],'[1]POS_EAD_0112 a 3101_CAMP. REG)'!$F$690:$N$915,8,FALSE)</f>
        <v>137.4</v>
      </c>
      <c r="BA15" s="72">
        <f>VLOOKUP(UNINASSAU[[#This Row],[CURSO]],'[1]POS_EAD_0112 a 3101_CAMP. REG)'!$F$690:$P$915,11,FALSE)</f>
        <v>0.5</v>
      </c>
      <c r="BB15" s="73">
        <f>VLOOKUP(UNINASSAU[[#This Row],[CURSO]],'[1]POS_EAD_0112 a 3101_CAMP. REG)'!$F$690:$Q$915,12,FALSE)</f>
        <v>124.91</v>
      </c>
      <c r="BD15" s="104">
        <v>12</v>
      </c>
      <c r="BE15" s="121" t="s">
        <v>42</v>
      </c>
      <c r="BF15" s="69" t="s">
        <v>19</v>
      </c>
    </row>
    <row r="16" spans="1:72" x14ac:dyDescent="0.25">
      <c r="A16" s="48"/>
      <c r="B16" s="28"/>
      <c r="C16" s="28"/>
      <c r="D16" s="41" t="str">
        <f ca="1">IF(E16&gt;0,"Sem Desconto","")</f>
        <v>Sem Desconto</v>
      </c>
      <c r="E16" s="170">
        <f ca="1">IFERROR(VLOOKUP($BG$1,INDIRECT($BK$1),6,FALSE),"")</f>
        <v>277.58266800000001</v>
      </c>
      <c r="F16" s="170"/>
      <c r="G16" s="43">
        <f ca="1">IFERROR(VLOOKUP($BG$1,INDIRECT($BK$1),5,FALSE),"")</f>
        <v>19</v>
      </c>
      <c r="H16" s="28"/>
      <c r="I16" s="29"/>
      <c r="J16" s="8"/>
      <c r="K16" s="69"/>
      <c r="L16" s="121" t="s">
        <v>244</v>
      </c>
      <c r="M16" s="69" t="s">
        <v>19</v>
      </c>
      <c r="N16" s="69" t="str">
        <f>VLOOKUP($L$4,'[1]POS_EAD_0112 a 3101_CAMP. REG)'!$F$5:$G$231,2,FALSE)</f>
        <v>Humanas</v>
      </c>
      <c r="O16" s="69">
        <f>VLOOKUP(L16,'[1]POS_EAD_0112 a 3101_CAMP. REG)'!$F$5:$H$231,3,FALSE)</f>
        <v>12</v>
      </c>
      <c r="P16" s="68">
        <f>VLOOKUP(L16,'[1]POS_EAD_0112 a 3101_CAMP. REG)'!$F$5:$I$231,4,FALSE)</f>
        <v>19</v>
      </c>
      <c r="Q16" s="73">
        <f>VLOOKUP(L16,'[1]POS_EAD_0112 a 3101_CAMP. REG)'!$F$5:$J$231,5,FALSE)</f>
        <v>277.58266800000001</v>
      </c>
      <c r="R16" s="124">
        <f>VLOOKUP(L16,'[1]POS_EAD_0112 a 3101_CAMP. REG)'!$F$5:$L$231,7,FALSE)</f>
        <v>0.45</v>
      </c>
      <c r="S16" s="73">
        <f>VLOOKUP(L16,'[1]POS_EAD_0112 a 3101_CAMP. REG)'!$F$5:$M$231,8,FALSE)</f>
        <v>137.4</v>
      </c>
      <c r="T16" s="124">
        <f>VLOOKUP(L16,'[1]POS_EAD_0112 a 3101_CAMP. REG)'!$F$5:$P$231,11,FALSE)</f>
        <v>0.5</v>
      </c>
      <c r="U16" s="73">
        <f>VLOOKUP(L16,'[1]POS_EAD_0112 a 3101_CAMP. REG)'!$F$5:$Q$231,12,FALSE)</f>
        <v>124.91</v>
      </c>
      <c r="W16" s="121" t="s">
        <v>244</v>
      </c>
      <c r="X16" s="69" t="s">
        <v>19</v>
      </c>
      <c r="Y16" s="69" t="str">
        <f>VLOOKUP(W16,'[1]POS_EAD_0112 a 3101_CAMP. REG)'!$F$231:$G$461,2,FALSE)</f>
        <v>Negócios</v>
      </c>
      <c r="Z16" s="68">
        <f>VLOOKUP(W16,'[1]POS_EAD_0112 a 3101_CAMP. REG)'!$F$231:$H$461,3,FALSE)</f>
        <v>12</v>
      </c>
      <c r="AA16" s="68">
        <f>VLOOKUP(W16,'[1]POS_EAD_0112 a 3101_CAMP. REG)'!$F$231:$I$461,4,FALSE)</f>
        <v>19</v>
      </c>
      <c r="AB16" s="73">
        <f>VLOOKUP(W16,'[1]POS_EAD_0112 a 3101_CAMP. REG)'!$F$231:$J$461,5,FALSE)</f>
        <v>300.91749900000002</v>
      </c>
      <c r="AC16" s="72">
        <f>VLOOKUP(W16,'[1]POS_EAD_0112 a 3101_CAMP. REG)'!$F$231:$L$461,7,FALSE)</f>
        <v>0.45</v>
      </c>
      <c r="AD16" s="73">
        <f>VLOOKUP(W16,'[1]POS_EAD_0112 a 3101_CAMP. REG)'!$F$231:$M$461,8,FALSE)</f>
        <v>148.94999999999999</v>
      </c>
      <c r="AE16" s="72">
        <f>VLOOKUP(W16,'[1]POS_EAD_0112 a 3101_CAMP. REG)'!$F$231:$P$461,11,FALSE)</f>
        <v>0.5</v>
      </c>
      <c r="AF16" s="73">
        <f>VLOOKUP(W16,'[1]POS_EAD_0112 a 3101_CAMP. REG)'!$F$231:$Q$461,12,FALSE)</f>
        <v>135.41</v>
      </c>
      <c r="AH16" s="121" t="s">
        <v>244</v>
      </c>
      <c r="AI16" s="69" t="s">
        <v>19</v>
      </c>
      <c r="AJ16" s="68" t="str">
        <f>VLOOKUP(UNG[[#This Row],[CURSO]],'[1]POS_EAD_0112 a 3101_CAMP. REG)'!$F$463:$G$688,2,FALSE)</f>
        <v>Negócios</v>
      </c>
      <c r="AK16" s="68">
        <f>VLOOKUP(UNG[[#This Row],[CURSO]],'[1]POS_EAD_0112 a 3101_CAMP. REG)'!$F$463:$H$688,3,FALSE)</f>
        <v>12</v>
      </c>
      <c r="AL16" s="68">
        <f>VLOOKUP(UNG[[#This Row],[CURSO]],'[1]POS_EAD_0112 a 3101_CAMP. REG)'!$F$463:$I$688,4,FALSE)</f>
        <v>19</v>
      </c>
      <c r="AM16" s="71">
        <f>VLOOKUP(UNG[[#This Row],[CURSO]],'[1]POS_EAD_0112 a 3101_CAMP. REG)'!$F$463:$J$688,5,FALSE)</f>
        <v>277.58266800000001</v>
      </c>
      <c r="AN16" s="124">
        <f>VLOOKUP(UNG[[#This Row],[CURSO]],'[1]POS_EAD_0112 a 3101_CAMP. REG)'!$F$463:$L$688,7,FALSE)</f>
        <v>0.45</v>
      </c>
      <c r="AO16" s="71">
        <f>VLOOKUP(UNG[[#This Row],[CURSO]],'[1]POS_EAD_0112 a 3101_CAMP. REG)'!$F$463:$M$688,8,FALSE)</f>
        <v>137.4</v>
      </c>
      <c r="AP16" s="124">
        <f>VLOOKUP(UNG[[#This Row],[CURSO]],'[1]POS_EAD_0112 a 3101_CAMP. REG)'!$F$463:$P$688,11,FALSE)</f>
        <v>0.5</v>
      </c>
      <c r="AQ16" s="71">
        <f>VLOOKUP(UNG[[#This Row],[CURSO]],'[1]POS_EAD_0112 a 3101_CAMP. REG)'!$F$463:$Q$688,12,FALSE)</f>
        <v>124.91</v>
      </c>
      <c r="AS16" s="121" t="s">
        <v>244</v>
      </c>
      <c r="AT16" s="69" t="s">
        <v>19</v>
      </c>
      <c r="AU16" s="69" t="str">
        <f>VLOOKUP(UNINASSAU[[#This Row],[CURSO]],'[1]POS_EAD_0112 a 3101_CAMP. REG)'!$F$690:$G$915,2,FALSE)</f>
        <v>Negócios</v>
      </c>
      <c r="AV16" s="69">
        <f>VLOOKUP(UNINASSAU[[#This Row],[CURSO]],'[1]POS_EAD_0112 a 3101_CAMP. REG)'!$F$690:$H$915,3,FALSE)</f>
        <v>12</v>
      </c>
      <c r="AW16" s="69">
        <f>VLOOKUP(UNINASSAU[[#This Row],[CURSO]],'[1]POS_EAD_0112 a 3101_CAMP. REG)'!$F$690:$I$915,4,FALSE)</f>
        <v>19</v>
      </c>
      <c r="AX16" s="73">
        <f>VLOOKUP(UNINASSAU[[#This Row],[CURSO]],'[1]POS_EAD_0112 a 3101_CAMP. REG)'!$F$690:$J$915,5,FALSE)</f>
        <v>277.58266800000001</v>
      </c>
      <c r="AY16" s="72">
        <f>VLOOKUP(UNINASSAU[[#This Row],[CURSO]],'[1]POS_EAD_0112 a 3101_CAMP. REG)'!$F$690:$L$915,7,FALSE)</f>
        <v>0.45</v>
      </c>
      <c r="AZ16" s="73">
        <f>VLOOKUP(UNINASSAU[[#This Row],[CURSO]],'[1]POS_EAD_0112 a 3101_CAMP. REG)'!$F$690:$N$915,8,FALSE)</f>
        <v>137.4</v>
      </c>
      <c r="BA16" s="72">
        <f>VLOOKUP(UNINASSAU[[#This Row],[CURSO]],'[1]POS_EAD_0112 a 3101_CAMP. REG)'!$F$690:$P$915,11,FALSE)</f>
        <v>0.5</v>
      </c>
      <c r="BB16" s="73">
        <f>VLOOKUP(UNINASSAU[[#This Row],[CURSO]],'[1]POS_EAD_0112 a 3101_CAMP. REG)'!$F$690:$Q$915,12,FALSE)</f>
        <v>124.91</v>
      </c>
      <c r="BD16" s="104">
        <v>13</v>
      </c>
      <c r="BE16" s="121" t="s">
        <v>244</v>
      </c>
      <c r="BF16" s="69" t="s">
        <v>19</v>
      </c>
    </row>
    <row r="17" spans="1:72" ht="6.75" customHeight="1" x14ac:dyDescent="0.25">
      <c r="A17" s="47"/>
      <c r="B17" s="17"/>
      <c r="C17" s="17"/>
      <c r="D17" s="30"/>
      <c r="E17" s="18"/>
      <c r="F17" s="18"/>
      <c r="G17" s="17"/>
      <c r="H17" s="17"/>
      <c r="I17" s="19"/>
      <c r="J17" s="1"/>
      <c r="L17" s="121" t="s">
        <v>222</v>
      </c>
      <c r="M17" s="69" t="s">
        <v>19</v>
      </c>
      <c r="N17" s="69" t="str">
        <f>VLOOKUP($L$4,'[1]POS_EAD_0112 a 3101_CAMP. REG)'!$F$5:$G$231,2,FALSE)</f>
        <v>Humanas</v>
      </c>
      <c r="O17" s="69">
        <f>VLOOKUP(L17,'[1]POS_EAD_0112 a 3101_CAMP. REG)'!$F$5:$H$231,3,FALSE)</f>
        <v>12</v>
      </c>
      <c r="P17" s="68">
        <f>VLOOKUP(L17,'[1]POS_EAD_0112 a 3101_CAMP. REG)'!$F$5:$I$231,4,FALSE)</f>
        <v>19</v>
      </c>
      <c r="Q17" s="73">
        <f>VLOOKUP(L17,'[1]POS_EAD_0112 a 3101_CAMP. REG)'!$F$5:$J$231,5,FALSE)</f>
        <v>277.58266800000001</v>
      </c>
      <c r="R17" s="124">
        <f>VLOOKUP(L17,'[1]POS_EAD_0112 a 3101_CAMP. REG)'!$F$5:$L$231,7,FALSE)</f>
        <v>0.45</v>
      </c>
      <c r="S17" s="73">
        <f>VLOOKUP(L17,'[1]POS_EAD_0112 a 3101_CAMP. REG)'!$F$5:$M$231,8,FALSE)</f>
        <v>137.4</v>
      </c>
      <c r="T17" s="124">
        <f>VLOOKUP(L17,'[1]POS_EAD_0112 a 3101_CAMP. REG)'!$F$5:$P$231,11,FALSE)</f>
        <v>0.5</v>
      </c>
      <c r="U17" s="73">
        <f>VLOOKUP(L17,'[1]POS_EAD_0112 a 3101_CAMP. REG)'!$F$5:$Q$231,12,FALSE)</f>
        <v>124.91</v>
      </c>
      <c r="W17" s="121" t="s">
        <v>222</v>
      </c>
      <c r="X17" s="69" t="s">
        <v>19</v>
      </c>
      <c r="Y17" s="69" t="str">
        <f>VLOOKUP(W17,'[1]POS_EAD_0112 a 3101_CAMP. REG)'!$F$231:$G$461,2,FALSE)</f>
        <v>Negócios</v>
      </c>
      <c r="Z17" s="68">
        <f>VLOOKUP(W17,'[1]POS_EAD_0112 a 3101_CAMP. REG)'!$F$231:$H$461,3,FALSE)</f>
        <v>12</v>
      </c>
      <c r="AA17" s="68">
        <f>VLOOKUP(W17,'[1]POS_EAD_0112 a 3101_CAMP. REG)'!$F$231:$I$461,4,FALSE)</f>
        <v>19</v>
      </c>
      <c r="AB17" s="73">
        <f>VLOOKUP(W17,'[1]POS_EAD_0112 a 3101_CAMP. REG)'!$F$231:$J$461,5,FALSE)</f>
        <v>300.91749900000002</v>
      </c>
      <c r="AC17" s="72">
        <f>VLOOKUP(W17,'[1]POS_EAD_0112 a 3101_CAMP. REG)'!$F$231:$L$461,7,FALSE)</f>
        <v>0.45</v>
      </c>
      <c r="AD17" s="73">
        <f>VLOOKUP(W17,'[1]POS_EAD_0112 a 3101_CAMP. REG)'!$F$231:$M$461,8,FALSE)</f>
        <v>148.94999999999999</v>
      </c>
      <c r="AE17" s="72">
        <f>VLOOKUP(W17,'[1]POS_EAD_0112 a 3101_CAMP. REG)'!$F$231:$P$461,11,FALSE)</f>
        <v>0.5</v>
      </c>
      <c r="AF17" s="73">
        <f>VLOOKUP(W17,'[1]POS_EAD_0112 a 3101_CAMP. REG)'!$F$231:$Q$461,12,FALSE)</f>
        <v>135.41</v>
      </c>
      <c r="AH17" s="121" t="s">
        <v>222</v>
      </c>
      <c r="AI17" s="69" t="s">
        <v>19</v>
      </c>
      <c r="AJ17" s="68" t="str">
        <f>VLOOKUP(UNG[[#This Row],[CURSO]],'[1]POS_EAD_0112 a 3101_CAMP. REG)'!$F$463:$G$688,2,FALSE)</f>
        <v>Negócios</v>
      </c>
      <c r="AK17" s="68">
        <f>VLOOKUP(UNG[[#This Row],[CURSO]],'[1]POS_EAD_0112 a 3101_CAMP. REG)'!$F$463:$H$688,3,FALSE)</f>
        <v>12</v>
      </c>
      <c r="AL17" s="68">
        <f>VLOOKUP(UNG[[#This Row],[CURSO]],'[1]POS_EAD_0112 a 3101_CAMP. REG)'!$F$463:$I$688,4,FALSE)</f>
        <v>19</v>
      </c>
      <c r="AM17" s="71">
        <f>VLOOKUP(UNG[[#This Row],[CURSO]],'[1]POS_EAD_0112 a 3101_CAMP. REG)'!$F$463:$J$688,5,FALSE)</f>
        <v>277.58266800000001</v>
      </c>
      <c r="AN17" s="124">
        <f>VLOOKUP(UNG[[#This Row],[CURSO]],'[1]POS_EAD_0112 a 3101_CAMP. REG)'!$F$463:$L$688,7,FALSE)</f>
        <v>0.45</v>
      </c>
      <c r="AO17" s="71">
        <f>VLOOKUP(UNG[[#This Row],[CURSO]],'[1]POS_EAD_0112 a 3101_CAMP. REG)'!$F$463:$M$688,8,FALSE)</f>
        <v>137.4</v>
      </c>
      <c r="AP17" s="124">
        <f>VLOOKUP(UNG[[#This Row],[CURSO]],'[1]POS_EAD_0112 a 3101_CAMP. REG)'!$F$463:$P$688,11,FALSE)</f>
        <v>0.5</v>
      </c>
      <c r="AQ17" s="71">
        <f>VLOOKUP(UNG[[#This Row],[CURSO]],'[1]POS_EAD_0112 a 3101_CAMP. REG)'!$F$463:$Q$688,12,FALSE)</f>
        <v>124.91</v>
      </c>
      <c r="AS17" s="121" t="s">
        <v>222</v>
      </c>
      <c r="AT17" s="69" t="s">
        <v>19</v>
      </c>
      <c r="AU17" s="69" t="str">
        <f>VLOOKUP(UNINASSAU[[#This Row],[CURSO]],'[1]POS_EAD_0112 a 3101_CAMP. REG)'!$F$690:$G$915,2,FALSE)</f>
        <v>Negócios</v>
      </c>
      <c r="AV17" s="69">
        <f>VLOOKUP(UNINASSAU[[#This Row],[CURSO]],'[1]POS_EAD_0112 a 3101_CAMP. REG)'!$F$690:$H$915,3,FALSE)</f>
        <v>12</v>
      </c>
      <c r="AW17" s="69">
        <f>VLOOKUP(UNINASSAU[[#This Row],[CURSO]],'[1]POS_EAD_0112 a 3101_CAMP. REG)'!$F$690:$I$915,4,FALSE)</f>
        <v>19</v>
      </c>
      <c r="AX17" s="73">
        <f>VLOOKUP(UNINASSAU[[#This Row],[CURSO]],'[1]POS_EAD_0112 a 3101_CAMP. REG)'!$F$690:$J$915,5,FALSE)</f>
        <v>277.58266800000001</v>
      </c>
      <c r="AY17" s="72">
        <f>VLOOKUP(UNINASSAU[[#This Row],[CURSO]],'[1]POS_EAD_0112 a 3101_CAMP. REG)'!$F$690:$L$915,7,FALSE)</f>
        <v>0.45</v>
      </c>
      <c r="AZ17" s="73">
        <f>VLOOKUP(UNINASSAU[[#This Row],[CURSO]],'[1]POS_EAD_0112 a 3101_CAMP. REG)'!$F$690:$N$915,8,FALSE)</f>
        <v>137.4</v>
      </c>
      <c r="BA17" s="72">
        <f>VLOOKUP(UNINASSAU[[#This Row],[CURSO]],'[1]POS_EAD_0112 a 3101_CAMP. REG)'!$F$690:$P$915,11,FALSE)</f>
        <v>0.5</v>
      </c>
      <c r="BB17" s="73">
        <f>VLOOKUP(UNINASSAU[[#This Row],[CURSO]],'[1]POS_EAD_0112 a 3101_CAMP. REG)'!$F$690:$Q$915,12,FALSE)</f>
        <v>124.91</v>
      </c>
      <c r="BD17" s="104">
        <v>14</v>
      </c>
      <c r="BE17" s="121" t="s">
        <v>222</v>
      </c>
      <c r="BF17" s="69" t="s">
        <v>19</v>
      </c>
      <c r="BH17" s="64"/>
    </row>
    <row r="18" spans="1:72" ht="16.5" x14ac:dyDescent="0.3">
      <c r="A18" s="47"/>
      <c r="B18" s="17"/>
      <c r="C18" s="17"/>
      <c r="D18" s="166" t="s">
        <v>30</v>
      </c>
      <c r="E18" s="166"/>
      <c r="F18" s="166"/>
      <c r="G18" s="166"/>
      <c r="H18" s="17"/>
      <c r="I18" s="19"/>
      <c r="J18" s="1"/>
      <c r="L18" s="121" t="s">
        <v>202</v>
      </c>
      <c r="M18" s="69" t="s">
        <v>19</v>
      </c>
      <c r="N18" s="69" t="str">
        <f>VLOOKUP($L$4,'[1]POS_EAD_0112 a 3101_CAMP. REG)'!$F$5:$G$231,2,FALSE)</f>
        <v>Humanas</v>
      </c>
      <c r="O18" s="69">
        <f>VLOOKUP(L18,'[1]POS_EAD_0112 a 3101_CAMP. REG)'!$F$5:$H$231,3,FALSE)</f>
        <v>12</v>
      </c>
      <c r="P18" s="68">
        <f>VLOOKUP(L18,'[1]POS_EAD_0112 a 3101_CAMP. REG)'!$F$5:$I$231,4,FALSE)</f>
        <v>19</v>
      </c>
      <c r="Q18" s="73">
        <f>VLOOKUP(L18,'[1]POS_EAD_0112 a 3101_CAMP. REG)'!$F$5:$J$231,5,FALSE)</f>
        <v>277.58266800000001</v>
      </c>
      <c r="R18" s="124">
        <f>VLOOKUP(L18,'[1]POS_EAD_0112 a 3101_CAMP. REG)'!$F$5:$L$231,7,FALSE)</f>
        <v>0.45</v>
      </c>
      <c r="S18" s="73">
        <f>VLOOKUP(L18,'[1]POS_EAD_0112 a 3101_CAMP. REG)'!$F$5:$M$231,8,FALSE)</f>
        <v>137.4</v>
      </c>
      <c r="T18" s="124">
        <f>VLOOKUP(L18,'[1]POS_EAD_0112 a 3101_CAMP. REG)'!$F$5:$P$231,11,FALSE)</f>
        <v>0.5</v>
      </c>
      <c r="U18" s="73">
        <f>VLOOKUP(L18,'[1]POS_EAD_0112 a 3101_CAMP. REG)'!$F$5:$Q$231,12,FALSE)</f>
        <v>124.91</v>
      </c>
      <c r="W18" s="121" t="s">
        <v>202</v>
      </c>
      <c r="X18" s="69" t="s">
        <v>19</v>
      </c>
      <c r="Y18" s="69" t="str">
        <f>VLOOKUP(W18,'[1]POS_EAD_0112 a 3101_CAMP. REG)'!$F$231:$G$461,2,FALSE)</f>
        <v>Negócios</v>
      </c>
      <c r="Z18" s="68">
        <f>VLOOKUP(W18,'[1]POS_EAD_0112 a 3101_CAMP. REG)'!$F$231:$H$461,3,FALSE)</f>
        <v>12</v>
      </c>
      <c r="AA18" s="68">
        <f>VLOOKUP(W18,'[1]POS_EAD_0112 a 3101_CAMP. REG)'!$F$231:$I$461,4,FALSE)</f>
        <v>19</v>
      </c>
      <c r="AB18" s="73">
        <f>VLOOKUP(W18,'[1]POS_EAD_0112 a 3101_CAMP. REG)'!$F$231:$J$461,5,FALSE)</f>
        <v>300.91749900000002</v>
      </c>
      <c r="AC18" s="72">
        <f>VLOOKUP(W18,'[1]POS_EAD_0112 a 3101_CAMP. REG)'!$F$231:$L$461,7,FALSE)</f>
        <v>0.45</v>
      </c>
      <c r="AD18" s="73">
        <f>VLOOKUP(W18,'[1]POS_EAD_0112 a 3101_CAMP. REG)'!$F$231:$M$461,8,FALSE)</f>
        <v>148.94999999999999</v>
      </c>
      <c r="AE18" s="72">
        <f>VLOOKUP(W18,'[1]POS_EAD_0112 a 3101_CAMP. REG)'!$F$231:$P$461,11,FALSE)</f>
        <v>0.5</v>
      </c>
      <c r="AF18" s="73">
        <f>VLOOKUP(W18,'[1]POS_EAD_0112 a 3101_CAMP. REG)'!$F$231:$Q$461,12,FALSE)</f>
        <v>135.41</v>
      </c>
      <c r="AH18" s="121" t="s">
        <v>202</v>
      </c>
      <c r="AI18" s="69" t="s">
        <v>19</v>
      </c>
      <c r="AJ18" s="68" t="str">
        <f>VLOOKUP(UNG[[#This Row],[CURSO]],'[1]POS_EAD_0112 a 3101_CAMP. REG)'!$F$463:$G$688,2,FALSE)</f>
        <v>Negócios</v>
      </c>
      <c r="AK18" s="68">
        <f>VLOOKUP(UNG[[#This Row],[CURSO]],'[1]POS_EAD_0112 a 3101_CAMP. REG)'!$F$463:$H$688,3,FALSE)</f>
        <v>12</v>
      </c>
      <c r="AL18" s="68">
        <f>VLOOKUP(UNG[[#This Row],[CURSO]],'[1]POS_EAD_0112 a 3101_CAMP. REG)'!$F$463:$I$688,4,FALSE)</f>
        <v>19</v>
      </c>
      <c r="AM18" s="71">
        <f>VLOOKUP(UNG[[#This Row],[CURSO]],'[1]POS_EAD_0112 a 3101_CAMP. REG)'!$F$463:$J$688,5,FALSE)</f>
        <v>277.58266800000001</v>
      </c>
      <c r="AN18" s="124">
        <f>VLOOKUP(UNG[[#This Row],[CURSO]],'[1]POS_EAD_0112 a 3101_CAMP. REG)'!$F$463:$L$688,7,FALSE)</f>
        <v>0.45</v>
      </c>
      <c r="AO18" s="71">
        <f>VLOOKUP(UNG[[#This Row],[CURSO]],'[1]POS_EAD_0112 a 3101_CAMP. REG)'!$F$463:$M$688,8,FALSE)</f>
        <v>137.4</v>
      </c>
      <c r="AP18" s="124">
        <f>VLOOKUP(UNG[[#This Row],[CURSO]],'[1]POS_EAD_0112 a 3101_CAMP. REG)'!$F$463:$P$688,11,FALSE)</f>
        <v>0.5</v>
      </c>
      <c r="AQ18" s="71">
        <f>VLOOKUP(UNG[[#This Row],[CURSO]],'[1]POS_EAD_0112 a 3101_CAMP. REG)'!$F$463:$Q$688,12,FALSE)</f>
        <v>124.91</v>
      </c>
      <c r="AS18" s="121" t="s">
        <v>202</v>
      </c>
      <c r="AT18" s="69" t="s">
        <v>19</v>
      </c>
      <c r="AU18" s="69" t="str">
        <f>VLOOKUP(UNINASSAU[[#This Row],[CURSO]],'[1]POS_EAD_0112 a 3101_CAMP. REG)'!$F$690:$G$915,2,FALSE)</f>
        <v>Negócios</v>
      </c>
      <c r="AV18" s="69">
        <f>VLOOKUP(UNINASSAU[[#This Row],[CURSO]],'[1]POS_EAD_0112 a 3101_CAMP. REG)'!$F$690:$H$915,3,FALSE)</f>
        <v>12</v>
      </c>
      <c r="AW18" s="69">
        <f>VLOOKUP(UNINASSAU[[#This Row],[CURSO]],'[1]POS_EAD_0112 a 3101_CAMP. REG)'!$F$690:$I$915,4,FALSE)</f>
        <v>19</v>
      </c>
      <c r="AX18" s="73">
        <f>VLOOKUP(UNINASSAU[[#This Row],[CURSO]],'[1]POS_EAD_0112 a 3101_CAMP. REG)'!$F$690:$J$915,5,FALSE)</f>
        <v>277.58266800000001</v>
      </c>
      <c r="AY18" s="72">
        <f>VLOOKUP(UNINASSAU[[#This Row],[CURSO]],'[1]POS_EAD_0112 a 3101_CAMP. REG)'!$F$690:$L$915,7,FALSE)</f>
        <v>0.45</v>
      </c>
      <c r="AZ18" s="73">
        <f>VLOOKUP(UNINASSAU[[#This Row],[CURSO]],'[1]POS_EAD_0112 a 3101_CAMP. REG)'!$F$690:$N$915,8,FALSE)</f>
        <v>137.4</v>
      </c>
      <c r="BA18" s="72">
        <f>VLOOKUP(UNINASSAU[[#This Row],[CURSO]],'[1]POS_EAD_0112 a 3101_CAMP. REG)'!$F$690:$P$915,11,FALSE)</f>
        <v>0.5</v>
      </c>
      <c r="BB18" s="73">
        <f>VLOOKUP(UNINASSAU[[#This Row],[CURSO]],'[1]POS_EAD_0112 a 3101_CAMP. REG)'!$F$690:$Q$915,12,FALSE)</f>
        <v>124.91</v>
      </c>
      <c r="BD18" s="104">
        <v>15</v>
      </c>
      <c r="BE18" s="121" t="s">
        <v>202</v>
      </c>
      <c r="BF18" s="69" t="s">
        <v>19</v>
      </c>
    </row>
    <row r="19" spans="1:72" s="10" customFormat="1" ht="26.25" x14ac:dyDescent="0.25">
      <c r="A19" s="49"/>
      <c r="B19" s="31"/>
      <c r="C19" s="31"/>
      <c r="D19" s="39" t="s">
        <v>27</v>
      </c>
      <c r="E19" s="39" t="s">
        <v>28</v>
      </c>
      <c r="F19" s="39" t="s">
        <v>31</v>
      </c>
      <c r="G19" s="40" t="s">
        <v>32</v>
      </c>
      <c r="H19" s="31"/>
      <c r="I19" s="32"/>
      <c r="J19" s="9"/>
      <c r="K19" s="105"/>
      <c r="L19" s="121" t="s">
        <v>35</v>
      </c>
      <c r="M19" s="69" t="s">
        <v>19</v>
      </c>
      <c r="N19" s="69" t="str">
        <f>VLOOKUP($L$4,'[1]POS_EAD_0112 a 3101_CAMP. REG)'!$F$5:$G$231,2,FALSE)</f>
        <v>Humanas</v>
      </c>
      <c r="O19" s="69">
        <f>VLOOKUP(L19,'[1]POS_EAD_0112 a 3101_CAMP. REG)'!$F$5:$H$231,3,FALSE)</f>
        <v>12</v>
      </c>
      <c r="P19" s="68">
        <f>VLOOKUP(L19,'[1]POS_EAD_0112 a 3101_CAMP. REG)'!$F$5:$I$231,4,FALSE)</f>
        <v>19</v>
      </c>
      <c r="Q19" s="73">
        <f>VLOOKUP(L19,'[1]POS_EAD_0112 a 3101_CAMP. REG)'!$F$5:$J$231,5,FALSE)</f>
        <v>184.28091221052631</v>
      </c>
      <c r="R19" s="124">
        <f>VLOOKUP(L19,'[1]POS_EAD_0112 a 3101_CAMP. REG)'!$F$5:$L$231,7,FALSE)</f>
        <v>0.45</v>
      </c>
      <c r="S19" s="73">
        <f>VLOOKUP(L19,'[1]POS_EAD_0112 a 3101_CAMP. REG)'!$F$5:$M$231,8,FALSE)</f>
        <v>91.22</v>
      </c>
      <c r="T19" s="124">
        <f>VLOOKUP(L19,'[1]POS_EAD_0112 a 3101_CAMP. REG)'!$F$5:$P$231,11,FALSE)</f>
        <v>0.5</v>
      </c>
      <c r="U19" s="73">
        <f>VLOOKUP(L19,'[1]POS_EAD_0112 a 3101_CAMP. REG)'!$F$5:$Q$231,12,FALSE)</f>
        <v>82.93</v>
      </c>
      <c r="V19" s="69"/>
      <c r="W19" s="121" t="s">
        <v>35</v>
      </c>
      <c r="X19" s="69" t="s">
        <v>19</v>
      </c>
      <c r="Y19" s="69" t="str">
        <f>VLOOKUP(W19,'[1]POS_EAD_0112 a 3101_CAMP. REG)'!$F$231:$G$461,2,FALSE)</f>
        <v>Negócios</v>
      </c>
      <c r="Z19" s="68">
        <f>VLOOKUP(W19,'[1]POS_EAD_0112 a 3101_CAMP. REG)'!$F$231:$H$461,3,FALSE)</f>
        <v>12</v>
      </c>
      <c r="AA19" s="68">
        <f>VLOOKUP(W19,'[1]POS_EAD_0112 a 3101_CAMP. REG)'!$F$231:$I$461,4,FALSE)</f>
        <v>19</v>
      </c>
      <c r="AB19" s="73">
        <f>VLOOKUP(W19,'[1]POS_EAD_0112 a 3101_CAMP. REG)'!$F$231:$J$461,5,FALSE)</f>
        <v>207.609666</v>
      </c>
      <c r="AC19" s="72">
        <f>VLOOKUP(W19,'[1]POS_EAD_0112 a 3101_CAMP. REG)'!$F$231:$L$461,7,FALSE)</f>
        <v>0.45</v>
      </c>
      <c r="AD19" s="73">
        <f>VLOOKUP(W19,'[1]POS_EAD_0112 a 3101_CAMP. REG)'!$F$231:$M$461,8,FALSE)</f>
        <v>102.77</v>
      </c>
      <c r="AE19" s="72">
        <f>VLOOKUP(W19,'[1]POS_EAD_0112 a 3101_CAMP. REG)'!$F$231:$P$461,11,FALSE)</f>
        <v>0.5</v>
      </c>
      <c r="AF19" s="73">
        <f>VLOOKUP(W19,'[1]POS_EAD_0112 a 3101_CAMP. REG)'!$F$231:$Q$461,12,FALSE)</f>
        <v>93.42</v>
      </c>
      <c r="AG19" s="74"/>
      <c r="AH19" s="121" t="s">
        <v>35</v>
      </c>
      <c r="AI19" s="69" t="s">
        <v>19</v>
      </c>
      <c r="AJ19" s="68" t="str">
        <f>VLOOKUP(UNG[[#This Row],[CURSO]],'[1]POS_EAD_0112 a 3101_CAMP. REG)'!$F$463:$G$688,2,FALSE)</f>
        <v>Negócios</v>
      </c>
      <c r="AK19" s="68">
        <f>VLOOKUP(UNG[[#This Row],[CURSO]],'[1]POS_EAD_0112 a 3101_CAMP. REG)'!$F$463:$H$688,3,FALSE)</f>
        <v>12</v>
      </c>
      <c r="AL19" s="68">
        <f>VLOOKUP(UNG[[#This Row],[CURSO]],'[1]POS_EAD_0112 a 3101_CAMP. REG)'!$F$463:$I$688,4,FALSE)</f>
        <v>19</v>
      </c>
      <c r="AM19" s="71">
        <f>VLOOKUP(UNG[[#This Row],[CURSO]],'[1]POS_EAD_0112 a 3101_CAMP. REG)'!$F$463:$J$688,5,FALSE)</f>
        <v>184.28091221052631</v>
      </c>
      <c r="AN19" s="124">
        <f>VLOOKUP(UNG[[#This Row],[CURSO]],'[1]POS_EAD_0112 a 3101_CAMP. REG)'!$F$463:$L$688,7,FALSE)</f>
        <v>0.45</v>
      </c>
      <c r="AO19" s="71">
        <f>VLOOKUP(UNG[[#This Row],[CURSO]],'[1]POS_EAD_0112 a 3101_CAMP. REG)'!$F$463:$M$688,8,FALSE)</f>
        <v>91.22</v>
      </c>
      <c r="AP19" s="124">
        <f>VLOOKUP(UNG[[#This Row],[CURSO]],'[1]POS_EAD_0112 a 3101_CAMP. REG)'!$F$463:$P$688,11,FALSE)</f>
        <v>0.5</v>
      </c>
      <c r="AQ19" s="71">
        <f>VLOOKUP(UNG[[#This Row],[CURSO]],'[1]POS_EAD_0112 a 3101_CAMP. REG)'!$F$463:$Q$688,12,FALSE)</f>
        <v>82.93</v>
      </c>
      <c r="AR19" s="74"/>
      <c r="AS19" s="121" t="s">
        <v>35</v>
      </c>
      <c r="AT19" s="69" t="s">
        <v>19</v>
      </c>
      <c r="AU19" s="69" t="str">
        <f>VLOOKUP(UNINASSAU[[#This Row],[CURSO]],'[1]POS_EAD_0112 a 3101_CAMP. REG)'!$F$690:$G$915,2,FALSE)</f>
        <v>Negócios</v>
      </c>
      <c r="AV19" s="69">
        <f>VLOOKUP(UNINASSAU[[#This Row],[CURSO]],'[1]POS_EAD_0112 a 3101_CAMP. REG)'!$F$690:$H$915,3,FALSE)</f>
        <v>12</v>
      </c>
      <c r="AW19" s="69">
        <f>VLOOKUP(UNINASSAU[[#This Row],[CURSO]],'[1]POS_EAD_0112 a 3101_CAMP. REG)'!$F$690:$I$915,4,FALSE)</f>
        <v>19</v>
      </c>
      <c r="AX19" s="73">
        <f>VLOOKUP(UNINASSAU[[#This Row],[CURSO]],'[1]POS_EAD_0112 a 3101_CAMP. REG)'!$F$690:$J$915,5,FALSE)</f>
        <v>184.28091221052631</v>
      </c>
      <c r="AY19" s="72">
        <f>VLOOKUP(UNINASSAU[[#This Row],[CURSO]],'[1]POS_EAD_0112 a 3101_CAMP. REG)'!$F$690:$L$915,7,FALSE)</f>
        <v>0.45</v>
      </c>
      <c r="AZ19" s="73">
        <f>VLOOKUP(UNINASSAU[[#This Row],[CURSO]],'[1]POS_EAD_0112 a 3101_CAMP. REG)'!$F$690:$N$915,8,FALSE)</f>
        <v>91.22</v>
      </c>
      <c r="BA19" s="72">
        <f>VLOOKUP(UNINASSAU[[#This Row],[CURSO]],'[1]POS_EAD_0112 a 3101_CAMP. REG)'!$F$690:$P$915,11,FALSE)</f>
        <v>0.5</v>
      </c>
      <c r="BB19" s="73">
        <f>VLOOKUP(UNINASSAU[[#This Row],[CURSO]],'[1]POS_EAD_0112 a 3101_CAMP. REG)'!$F$690:$Q$915,12,FALSE)</f>
        <v>82.93</v>
      </c>
      <c r="BC19" s="73"/>
      <c r="BD19" s="104">
        <v>16</v>
      </c>
      <c r="BE19" s="121" t="s">
        <v>35</v>
      </c>
      <c r="BF19" s="69" t="s">
        <v>19</v>
      </c>
      <c r="BG19" s="65"/>
      <c r="BH19" s="66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</row>
    <row r="20" spans="1:72" x14ac:dyDescent="0.25">
      <c r="A20" s="48"/>
      <c r="B20" s="28"/>
      <c r="C20" s="28"/>
      <c r="D20" s="41">
        <f ca="1">IFERROR(VLOOKUP($BG$1,INDIRECT($BK$1),7,FALSE),"")</f>
        <v>0.45</v>
      </c>
      <c r="E20" s="42">
        <f ca="1">IFERROR(VLOOKUP($BG$1,INDIRECT($BK$1),8,FALSE),"")</f>
        <v>137.4</v>
      </c>
      <c r="F20" s="43">
        <f ca="1">IFERROR(VLOOKUP($BG$1,INDIRECT($BK$1),5,FALSE),"")</f>
        <v>19</v>
      </c>
      <c r="G20" s="44" t="str">
        <f ca="1">IF(F20&gt;0,"Paga","")</f>
        <v>Paga</v>
      </c>
      <c r="H20" s="28"/>
      <c r="I20" s="29"/>
      <c r="J20" s="8"/>
      <c r="K20" s="69"/>
      <c r="L20" s="121" t="s">
        <v>60</v>
      </c>
      <c r="M20" s="69" t="s">
        <v>19</v>
      </c>
      <c r="N20" s="69" t="str">
        <f>VLOOKUP($L$4,'[1]POS_EAD_0112 a 3101_CAMP. REG)'!$F$5:$G$231,2,FALSE)</f>
        <v>Humanas</v>
      </c>
      <c r="O20" s="69">
        <f>VLOOKUP(L20,'[1]POS_EAD_0112 a 3101_CAMP. REG)'!$F$5:$H$231,3,FALSE)</f>
        <v>12</v>
      </c>
      <c r="P20" s="68">
        <f>VLOOKUP(L20,'[1]POS_EAD_0112 a 3101_CAMP. REG)'!$F$5:$I$231,4,FALSE)</f>
        <v>19</v>
      </c>
      <c r="Q20" s="73">
        <f>VLOOKUP(L20,'[1]POS_EAD_0112 a 3101_CAMP. REG)'!$F$5:$J$231,5,FALSE)</f>
        <v>184.28091221052631</v>
      </c>
      <c r="R20" s="124">
        <f>VLOOKUP(L20,'[1]POS_EAD_0112 a 3101_CAMP. REG)'!$F$5:$L$231,7,FALSE)</f>
        <v>0.45</v>
      </c>
      <c r="S20" s="73">
        <f>VLOOKUP(L20,'[1]POS_EAD_0112 a 3101_CAMP. REG)'!$F$5:$M$231,8,FALSE)</f>
        <v>91.22</v>
      </c>
      <c r="T20" s="124">
        <f>VLOOKUP(L20,'[1]POS_EAD_0112 a 3101_CAMP. REG)'!$F$5:$P$231,11,FALSE)</f>
        <v>0.5</v>
      </c>
      <c r="U20" s="73">
        <f>VLOOKUP(L20,'[1]POS_EAD_0112 a 3101_CAMP. REG)'!$F$5:$Q$231,12,FALSE)</f>
        <v>82.93</v>
      </c>
      <c r="W20" s="121" t="s">
        <v>60</v>
      </c>
      <c r="X20" s="69" t="s">
        <v>19</v>
      </c>
      <c r="Y20" s="69" t="str">
        <f>VLOOKUP(W20,'[1]POS_EAD_0112 a 3101_CAMP. REG)'!$F$231:$G$461,2,FALSE)</f>
        <v>Humanas</v>
      </c>
      <c r="Z20" s="68">
        <f>VLOOKUP(W20,'[1]POS_EAD_0112 a 3101_CAMP. REG)'!$F$231:$H$461,3,FALSE)</f>
        <v>12</v>
      </c>
      <c r="AA20" s="68">
        <f>VLOOKUP(W20,'[1]POS_EAD_0112 a 3101_CAMP. REG)'!$F$231:$I$461,4,FALSE)</f>
        <v>19</v>
      </c>
      <c r="AB20" s="73">
        <f>VLOOKUP(W20,'[1]POS_EAD_0112 a 3101_CAMP. REG)'!$F$231:$J$461,5,FALSE)</f>
        <v>207.609666</v>
      </c>
      <c r="AC20" s="72">
        <f>VLOOKUP(W20,'[1]POS_EAD_0112 a 3101_CAMP. REG)'!$F$231:$L$461,7,FALSE)</f>
        <v>0.45</v>
      </c>
      <c r="AD20" s="73">
        <f>VLOOKUP(W20,'[1]POS_EAD_0112 a 3101_CAMP. REG)'!$F$231:$M$461,8,FALSE)</f>
        <v>102.77</v>
      </c>
      <c r="AE20" s="72">
        <f>VLOOKUP(W20,'[1]POS_EAD_0112 a 3101_CAMP. REG)'!$F$231:$P$461,11,FALSE)</f>
        <v>0.5</v>
      </c>
      <c r="AF20" s="73">
        <f>VLOOKUP(W20,'[1]POS_EAD_0112 a 3101_CAMP. REG)'!$F$231:$Q$461,12,FALSE)</f>
        <v>93.42</v>
      </c>
      <c r="AH20" s="121" t="s">
        <v>60</v>
      </c>
      <c r="AI20" s="69" t="s">
        <v>19</v>
      </c>
      <c r="AJ20" s="68" t="str">
        <f>VLOOKUP(UNG[[#This Row],[CURSO]],'[1]POS_EAD_0112 a 3101_CAMP. REG)'!$F$463:$G$688,2,FALSE)</f>
        <v>Humanas</v>
      </c>
      <c r="AK20" s="68">
        <f>VLOOKUP(UNG[[#This Row],[CURSO]],'[1]POS_EAD_0112 a 3101_CAMP. REG)'!$F$463:$H$688,3,FALSE)</f>
        <v>12</v>
      </c>
      <c r="AL20" s="68">
        <f>VLOOKUP(UNG[[#This Row],[CURSO]],'[1]POS_EAD_0112 a 3101_CAMP. REG)'!$F$463:$I$688,4,FALSE)</f>
        <v>19</v>
      </c>
      <c r="AM20" s="71">
        <f>VLOOKUP(UNG[[#This Row],[CURSO]],'[1]POS_EAD_0112 a 3101_CAMP. REG)'!$F$463:$J$688,5,FALSE)</f>
        <v>184.28091221052631</v>
      </c>
      <c r="AN20" s="124">
        <f>VLOOKUP(UNG[[#This Row],[CURSO]],'[1]POS_EAD_0112 a 3101_CAMP. REG)'!$F$463:$L$688,7,FALSE)</f>
        <v>0.45</v>
      </c>
      <c r="AO20" s="71">
        <f>VLOOKUP(UNG[[#This Row],[CURSO]],'[1]POS_EAD_0112 a 3101_CAMP. REG)'!$F$463:$M$688,8,FALSE)</f>
        <v>91.22</v>
      </c>
      <c r="AP20" s="124">
        <f>VLOOKUP(UNG[[#This Row],[CURSO]],'[1]POS_EAD_0112 a 3101_CAMP. REG)'!$F$463:$P$688,11,FALSE)</f>
        <v>0.5</v>
      </c>
      <c r="AQ20" s="71">
        <f>VLOOKUP(UNG[[#This Row],[CURSO]],'[1]POS_EAD_0112 a 3101_CAMP. REG)'!$F$463:$Q$688,12,FALSE)</f>
        <v>82.93</v>
      </c>
      <c r="AS20" s="121" t="s">
        <v>60</v>
      </c>
      <c r="AT20" s="69" t="s">
        <v>19</v>
      </c>
      <c r="AU20" s="69" t="str">
        <f>VLOOKUP(UNINASSAU[[#This Row],[CURSO]],'[1]POS_EAD_0112 a 3101_CAMP. REG)'!$F$690:$G$915,2,FALSE)</f>
        <v>Humanas</v>
      </c>
      <c r="AV20" s="69">
        <f>VLOOKUP(UNINASSAU[[#This Row],[CURSO]],'[1]POS_EAD_0112 a 3101_CAMP. REG)'!$F$690:$H$915,3,FALSE)</f>
        <v>12</v>
      </c>
      <c r="AW20" s="69">
        <f>VLOOKUP(UNINASSAU[[#This Row],[CURSO]],'[1]POS_EAD_0112 a 3101_CAMP. REG)'!$F$690:$I$915,4,FALSE)</f>
        <v>19</v>
      </c>
      <c r="AX20" s="73">
        <f>VLOOKUP(UNINASSAU[[#This Row],[CURSO]],'[1]POS_EAD_0112 a 3101_CAMP. REG)'!$F$690:$J$915,5,FALSE)</f>
        <v>184.28091221052631</v>
      </c>
      <c r="AY20" s="72">
        <f>VLOOKUP(UNINASSAU[[#This Row],[CURSO]],'[1]POS_EAD_0112 a 3101_CAMP. REG)'!$F$690:$L$915,7,FALSE)</f>
        <v>0.45</v>
      </c>
      <c r="AZ20" s="73">
        <f>VLOOKUP(UNINASSAU[[#This Row],[CURSO]],'[1]POS_EAD_0112 a 3101_CAMP. REG)'!$F$690:$N$915,8,FALSE)</f>
        <v>91.22</v>
      </c>
      <c r="BA20" s="72">
        <f>VLOOKUP(UNINASSAU[[#This Row],[CURSO]],'[1]POS_EAD_0112 a 3101_CAMP. REG)'!$F$690:$P$915,11,FALSE)</f>
        <v>0.5</v>
      </c>
      <c r="BB20" s="73">
        <f>VLOOKUP(UNINASSAU[[#This Row],[CURSO]],'[1]POS_EAD_0112 a 3101_CAMP. REG)'!$F$690:$Q$915,12,FALSE)</f>
        <v>82.93</v>
      </c>
      <c r="BD20" s="104">
        <v>17</v>
      </c>
      <c r="BE20" s="121" t="s">
        <v>60</v>
      </c>
      <c r="BF20" s="69" t="s">
        <v>19</v>
      </c>
      <c r="BK20" s="63"/>
    </row>
    <row r="21" spans="1:72" x14ac:dyDescent="0.25">
      <c r="A21" s="47"/>
      <c r="B21" s="28"/>
      <c r="C21" s="28"/>
      <c r="D21" s="26" t="str">
        <f ca="1">IF($D$20=0,"","▶  O valor da mensalidade já inclui o desconto de pontualidade de 10% para pagamento no dia 08/mês")</f>
        <v>▶  O valor da mensalidade já inclui o desconto de pontualidade de 10% para pagamento no dia 08/mês</v>
      </c>
      <c r="E21" s="11"/>
      <c r="F21" s="12"/>
      <c r="G21" s="33"/>
      <c r="H21" s="28"/>
      <c r="I21" s="29"/>
      <c r="J21" s="1"/>
      <c r="L21" s="121" t="s">
        <v>61</v>
      </c>
      <c r="M21" s="69" t="s">
        <v>19</v>
      </c>
      <c r="N21" s="69" t="str">
        <f>VLOOKUP($L$4,'[1]POS_EAD_0112 a 3101_CAMP. REG)'!$F$5:$G$231,2,FALSE)</f>
        <v>Humanas</v>
      </c>
      <c r="O21" s="69">
        <f>VLOOKUP(L21,'[1]POS_EAD_0112 a 3101_CAMP. REG)'!$F$5:$H$231,3,FALSE)</f>
        <v>12</v>
      </c>
      <c r="P21" s="68">
        <f>VLOOKUP(L21,'[1]POS_EAD_0112 a 3101_CAMP. REG)'!$F$5:$I$231,4,FALSE)</f>
        <v>19</v>
      </c>
      <c r="Q21" s="73">
        <f>VLOOKUP(L21,'[1]POS_EAD_0112 a 3101_CAMP. REG)'!$F$5:$J$231,5,FALSE)</f>
        <v>184.28091221052631</v>
      </c>
      <c r="R21" s="124">
        <f>VLOOKUP(L21,'[1]POS_EAD_0112 a 3101_CAMP. REG)'!$F$5:$L$231,7,FALSE)</f>
        <v>0.45</v>
      </c>
      <c r="S21" s="73">
        <f>VLOOKUP(L21,'[1]POS_EAD_0112 a 3101_CAMP. REG)'!$F$5:$M$231,8,FALSE)</f>
        <v>91.22</v>
      </c>
      <c r="T21" s="124">
        <f>VLOOKUP(L21,'[1]POS_EAD_0112 a 3101_CAMP. REG)'!$F$5:$P$231,11,FALSE)</f>
        <v>0.5</v>
      </c>
      <c r="U21" s="73">
        <f>VLOOKUP(L21,'[1]POS_EAD_0112 a 3101_CAMP. REG)'!$F$5:$Q$231,12,FALSE)</f>
        <v>82.93</v>
      </c>
      <c r="W21" s="121" t="s">
        <v>61</v>
      </c>
      <c r="X21" s="69" t="s">
        <v>19</v>
      </c>
      <c r="Y21" s="69" t="str">
        <f>VLOOKUP(W21,'[1]POS_EAD_0112 a 3101_CAMP. REG)'!$F$231:$G$461,2,FALSE)</f>
        <v>Humanas</v>
      </c>
      <c r="Z21" s="68">
        <f>VLOOKUP(W21,'[1]POS_EAD_0112 a 3101_CAMP. REG)'!$F$231:$H$461,3,FALSE)</f>
        <v>12</v>
      </c>
      <c r="AA21" s="68">
        <f>VLOOKUP(W21,'[1]POS_EAD_0112 a 3101_CAMP. REG)'!$F$231:$I$461,4,FALSE)</f>
        <v>19</v>
      </c>
      <c r="AB21" s="73">
        <f>VLOOKUP(W21,'[1]POS_EAD_0112 a 3101_CAMP. REG)'!$F$231:$J$461,5,FALSE)</f>
        <v>207.609666</v>
      </c>
      <c r="AC21" s="72">
        <f>VLOOKUP(W21,'[1]POS_EAD_0112 a 3101_CAMP. REG)'!$F$231:$L$461,7,FALSE)</f>
        <v>0.45</v>
      </c>
      <c r="AD21" s="73">
        <f>VLOOKUP(W21,'[1]POS_EAD_0112 a 3101_CAMP. REG)'!$F$231:$M$461,8,FALSE)</f>
        <v>102.77</v>
      </c>
      <c r="AE21" s="72">
        <f>VLOOKUP(W21,'[1]POS_EAD_0112 a 3101_CAMP. REG)'!$F$231:$P$461,11,FALSE)</f>
        <v>0.5</v>
      </c>
      <c r="AF21" s="73">
        <f>VLOOKUP(W21,'[1]POS_EAD_0112 a 3101_CAMP. REG)'!$F$231:$Q$461,12,FALSE)</f>
        <v>93.42</v>
      </c>
      <c r="AH21" s="121" t="s">
        <v>61</v>
      </c>
      <c r="AI21" s="69" t="s">
        <v>19</v>
      </c>
      <c r="AJ21" s="68" t="str">
        <f>VLOOKUP(UNG[[#This Row],[CURSO]],'[1]POS_EAD_0112 a 3101_CAMP. REG)'!$F$463:$G$688,2,FALSE)</f>
        <v>Humanas</v>
      </c>
      <c r="AK21" s="68">
        <f>VLOOKUP(UNG[[#This Row],[CURSO]],'[1]POS_EAD_0112 a 3101_CAMP. REG)'!$F$463:$H$688,3,FALSE)</f>
        <v>12</v>
      </c>
      <c r="AL21" s="68">
        <f>VLOOKUP(UNG[[#This Row],[CURSO]],'[1]POS_EAD_0112 a 3101_CAMP. REG)'!$F$463:$I$688,4,FALSE)</f>
        <v>19</v>
      </c>
      <c r="AM21" s="71">
        <f>VLOOKUP(UNG[[#This Row],[CURSO]],'[1]POS_EAD_0112 a 3101_CAMP. REG)'!$F$463:$J$688,5,FALSE)</f>
        <v>184.28091221052631</v>
      </c>
      <c r="AN21" s="124">
        <f>VLOOKUP(UNG[[#This Row],[CURSO]],'[1]POS_EAD_0112 a 3101_CAMP. REG)'!$F$463:$L$688,7,FALSE)</f>
        <v>0.45</v>
      </c>
      <c r="AO21" s="71">
        <f>VLOOKUP(UNG[[#This Row],[CURSO]],'[1]POS_EAD_0112 a 3101_CAMP. REG)'!$F$463:$M$688,8,FALSE)</f>
        <v>91.22</v>
      </c>
      <c r="AP21" s="124">
        <f>VLOOKUP(UNG[[#This Row],[CURSO]],'[1]POS_EAD_0112 a 3101_CAMP. REG)'!$F$463:$P$688,11,FALSE)</f>
        <v>0.5</v>
      </c>
      <c r="AQ21" s="71">
        <f>VLOOKUP(UNG[[#This Row],[CURSO]],'[1]POS_EAD_0112 a 3101_CAMP. REG)'!$F$463:$Q$688,12,FALSE)</f>
        <v>82.93</v>
      </c>
      <c r="AS21" s="121" t="s">
        <v>61</v>
      </c>
      <c r="AT21" s="69" t="s">
        <v>19</v>
      </c>
      <c r="AU21" s="69" t="str">
        <f>VLOOKUP(UNINASSAU[[#This Row],[CURSO]],'[1]POS_EAD_0112 a 3101_CAMP. REG)'!$F$690:$G$915,2,FALSE)</f>
        <v>Humanas</v>
      </c>
      <c r="AV21" s="69">
        <f>VLOOKUP(UNINASSAU[[#This Row],[CURSO]],'[1]POS_EAD_0112 a 3101_CAMP. REG)'!$F$690:$H$915,3,FALSE)</f>
        <v>12</v>
      </c>
      <c r="AW21" s="69">
        <f>VLOOKUP(UNINASSAU[[#This Row],[CURSO]],'[1]POS_EAD_0112 a 3101_CAMP. REG)'!$F$690:$I$915,4,FALSE)</f>
        <v>19</v>
      </c>
      <c r="AX21" s="73">
        <f>VLOOKUP(UNINASSAU[[#This Row],[CURSO]],'[1]POS_EAD_0112 a 3101_CAMP. REG)'!$F$690:$J$915,5,FALSE)</f>
        <v>184.28091221052631</v>
      </c>
      <c r="AY21" s="72">
        <f>VLOOKUP(UNINASSAU[[#This Row],[CURSO]],'[1]POS_EAD_0112 a 3101_CAMP. REG)'!$F$690:$L$915,7,FALSE)</f>
        <v>0.45</v>
      </c>
      <c r="AZ21" s="73">
        <f>VLOOKUP(UNINASSAU[[#This Row],[CURSO]],'[1]POS_EAD_0112 a 3101_CAMP. REG)'!$F$690:$N$915,8,FALSE)</f>
        <v>91.22</v>
      </c>
      <c r="BA21" s="72">
        <f>VLOOKUP(UNINASSAU[[#This Row],[CURSO]],'[1]POS_EAD_0112 a 3101_CAMP. REG)'!$F$690:$P$915,11,FALSE)</f>
        <v>0.5</v>
      </c>
      <c r="BB21" s="73">
        <f>VLOOKUP(UNINASSAU[[#This Row],[CURSO]],'[1]POS_EAD_0112 a 3101_CAMP. REG)'!$F$690:$Q$915,12,FALSE)</f>
        <v>82.93</v>
      </c>
      <c r="BD21" s="104">
        <v>18</v>
      </c>
      <c r="BE21" s="121" t="s">
        <v>61</v>
      </c>
      <c r="BF21" s="69" t="s">
        <v>19</v>
      </c>
    </row>
    <row r="22" spans="1:72" ht="9.75" customHeight="1" x14ac:dyDescent="0.25">
      <c r="A22" s="47"/>
      <c r="B22" s="17"/>
      <c r="C22" s="17"/>
      <c r="D22" s="26"/>
      <c r="E22" s="18"/>
      <c r="F22" s="18"/>
      <c r="G22" s="17"/>
      <c r="H22" s="17"/>
      <c r="I22" s="19"/>
      <c r="J22" s="1"/>
      <c r="L22" s="121" t="s">
        <v>74</v>
      </c>
      <c r="M22" s="69" t="s">
        <v>19</v>
      </c>
      <c r="N22" s="69" t="str">
        <f>VLOOKUP($L$4,'[1]POS_EAD_0112 a 3101_CAMP. REG)'!$F$5:$G$231,2,FALSE)</f>
        <v>Humanas</v>
      </c>
      <c r="O22" s="69">
        <f>VLOOKUP(L22,'[1]POS_EAD_0112 a 3101_CAMP. REG)'!$F$5:$H$231,3,FALSE)</f>
        <v>12</v>
      </c>
      <c r="P22" s="68">
        <f>VLOOKUP(L22,'[1]POS_EAD_0112 a 3101_CAMP. REG)'!$F$5:$I$231,4,FALSE)</f>
        <v>19</v>
      </c>
      <c r="Q22" s="73">
        <f>VLOOKUP(L22,'[1]POS_EAD_0112 a 3101_CAMP. REG)'!$F$5:$J$231,5,FALSE)</f>
        <v>184.28091221052631</v>
      </c>
      <c r="R22" s="124">
        <f>VLOOKUP(L22,'[1]POS_EAD_0112 a 3101_CAMP. REG)'!$F$5:$L$231,7,FALSE)</f>
        <v>0.45</v>
      </c>
      <c r="S22" s="73">
        <f>VLOOKUP(L22,'[1]POS_EAD_0112 a 3101_CAMP. REG)'!$F$5:$M$231,8,FALSE)</f>
        <v>91.22</v>
      </c>
      <c r="T22" s="124">
        <f>VLOOKUP(L22,'[1]POS_EAD_0112 a 3101_CAMP. REG)'!$F$5:$P$231,11,FALSE)</f>
        <v>0.5</v>
      </c>
      <c r="U22" s="73">
        <f>VLOOKUP(L22,'[1]POS_EAD_0112 a 3101_CAMP. REG)'!$F$5:$Q$231,12,FALSE)</f>
        <v>82.93</v>
      </c>
      <c r="W22" s="121" t="s">
        <v>74</v>
      </c>
      <c r="X22" s="69" t="s">
        <v>19</v>
      </c>
      <c r="Y22" s="69" t="str">
        <f>VLOOKUP(W22,'[1]POS_EAD_0112 a 3101_CAMP. REG)'!$F$231:$G$461,2,FALSE)</f>
        <v>Humanas</v>
      </c>
      <c r="Z22" s="68">
        <f>VLOOKUP(W22,'[1]POS_EAD_0112 a 3101_CAMP. REG)'!$F$231:$H$461,3,FALSE)</f>
        <v>12</v>
      </c>
      <c r="AA22" s="68">
        <f>VLOOKUP(W22,'[1]POS_EAD_0112 a 3101_CAMP. REG)'!$F$231:$I$461,4,FALSE)</f>
        <v>19</v>
      </c>
      <c r="AB22" s="73">
        <f>VLOOKUP(W22,'[1]POS_EAD_0112 a 3101_CAMP. REG)'!$F$231:$J$461,5,FALSE)</f>
        <v>207.609666</v>
      </c>
      <c r="AC22" s="72">
        <f>VLOOKUP(W22,'[1]POS_EAD_0112 a 3101_CAMP. REG)'!$F$231:$L$461,7,FALSE)</f>
        <v>0.45</v>
      </c>
      <c r="AD22" s="73">
        <f>VLOOKUP(W22,'[1]POS_EAD_0112 a 3101_CAMP. REG)'!$F$231:$M$461,8,FALSE)</f>
        <v>102.77</v>
      </c>
      <c r="AE22" s="72">
        <f>VLOOKUP(W22,'[1]POS_EAD_0112 a 3101_CAMP. REG)'!$F$231:$P$461,11,FALSE)</f>
        <v>0.5</v>
      </c>
      <c r="AF22" s="73">
        <f>VLOOKUP(W22,'[1]POS_EAD_0112 a 3101_CAMP. REG)'!$F$231:$Q$461,12,FALSE)</f>
        <v>93.42</v>
      </c>
      <c r="AH22" s="121" t="s">
        <v>74</v>
      </c>
      <c r="AI22" s="69" t="s">
        <v>19</v>
      </c>
      <c r="AJ22" s="68" t="str">
        <f>VLOOKUP(UNG[[#This Row],[CURSO]],'[1]POS_EAD_0112 a 3101_CAMP. REG)'!$F$463:$G$688,2,FALSE)</f>
        <v>Humanas</v>
      </c>
      <c r="AK22" s="68">
        <f>VLOOKUP(UNG[[#This Row],[CURSO]],'[1]POS_EAD_0112 a 3101_CAMP. REG)'!$F$463:$H$688,3,FALSE)</f>
        <v>12</v>
      </c>
      <c r="AL22" s="68">
        <f>VLOOKUP(UNG[[#This Row],[CURSO]],'[1]POS_EAD_0112 a 3101_CAMP. REG)'!$F$463:$I$688,4,FALSE)</f>
        <v>19</v>
      </c>
      <c r="AM22" s="71">
        <f>VLOOKUP(UNG[[#This Row],[CURSO]],'[1]POS_EAD_0112 a 3101_CAMP. REG)'!$F$463:$J$688,5,FALSE)</f>
        <v>184.28091221052631</v>
      </c>
      <c r="AN22" s="124">
        <f>VLOOKUP(UNG[[#This Row],[CURSO]],'[1]POS_EAD_0112 a 3101_CAMP. REG)'!$F$463:$L$688,7,FALSE)</f>
        <v>0.45</v>
      </c>
      <c r="AO22" s="71">
        <f>VLOOKUP(UNG[[#This Row],[CURSO]],'[1]POS_EAD_0112 a 3101_CAMP. REG)'!$F$463:$M$688,8,FALSE)</f>
        <v>91.22</v>
      </c>
      <c r="AP22" s="124">
        <f>VLOOKUP(UNG[[#This Row],[CURSO]],'[1]POS_EAD_0112 a 3101_CAMP. REG)'!$F$463:$P$688,11,FALSE)</f>
        <v>0.5</v>
      </c>
      <c r="AQ22" s="71">
        <f>VLOOKUP(UNG[[#This Row],[CURSO]],'[1]POS_EAD_0112 a 3101_CAMP. REG)'!$F$463:$Q$688,12,FALSE)</f>
        <v>82.93</v>
      </c>
      <c r="AS22" s="121" t="s">
        <v>74</v>
      </c>
      <c r="AT22" s="69" t="s">
        <v>19</v>
      </c>
      <c r="AU22" s="69" t="str">
        <f>VLOOKUP(UNINASSAU[[#This Row],[CURSO]],'[1]POS_EAD_0112 a 3101_CAMP. REG)'!$F$690:$G$915,2,FALSE)</f>
        <v>Humanas</v>
      </c>
      <c r="AV22" s="69">
        <f>VLOOKUP(UNINASSAU[[#This Row],[CURSO]],'[1]POS_EAD_0112 a 3101_CAMP. REG)'!$F$690:$H$915,3,FALSE)</f>
        <v>12</v>
      </c>
      <c r="AW22" s="69">
        <f>VLOOKUP(UNINASSAU[[#This Row],[CURSO]],'[1]POS_EAD_0112 a 3101_CAMP. REG)'!$F$690:$I$915,4,FALSE)</f>
        <v>19</v>
      </c>
      <c r="AX22" s="73">
        <f>VLOOKUP(UNINASSAU[[#This Row],[CURSO]],'[1]POS_EAD_0112 a 3101_CAMP. REG)'!$F$690:$J$915,5,FALSE)</f>
        <v>184.28091221052631</v>
      </c>
      <c r="AY22" s="72">
        <f>VLOOKUP(UNINASSAU[[#This Row],[CURSO]],'[1]POS_EAD_0112 a 3101_CAMP. REG)'!$F$690:$L$915,7,FALSE)</f>
        <v>0.45</v>
      </c>
      <c r="AZ22" s="73">
        <f>VLOOKUP(UNINASSAU[[#This Row],[CURSO]],'[1]POS_EAD_0112 a 3101_CAMP. REG)'!$F$690:$N$915,8,FALSE)</f>
        <v>91.22</v>
      </c>
      <c r="BA22" s="72">
        <f>VLOOKUP(UNINASSAU[[#This Row],[CURSO]],'[1]POS_EAD_0112 a 3101_CAMP. REG)'!$F$690:$P$915,11,FALSE)</f>
        <v>0.5</v>
      </c>
      <c r="BB22" s="73">
        <f>VLOOKUP(UNINASSAU[[#This Row],[CURSO]],'[1]POS_EAD_0112 a 3101_CAMP. REG)'!$F$690:$Q$915,12,FALSE)</f>
        <v>82.93</v>
      </c>
      <c r="BD22" s="104">
        <v>19</v>
      </c>
      <c r="BE22" s="121" t="s">
        <v>74</v>
      </c>
      <c r="BF22" s="69" t="s">
        <v>19</v>
      </c>
    </row>
    <row r="23" spans="1:72" ht="16.5" x14ac:dyDescent="0.3">
      <c r="A23" s="47"/>
      <c r="B23" s="17"/>
      <c r="C23" s="17"/>
      <c r="D23" s="166" t="s">
        <v>33</v>
      </c>
      <c r="E23" s="166"/>
      <c r="F23" s="166"/>
      <c r="G23" s="166"/>
      <c r="H23" s="17"/>
      <c r="I23" s="19"/>
      <c r="J23" s="1"/>
      <c r="L23" s="121" t="s">
        <v>93</v>
      </c>
      <c r="M23" s="69" t="s">
        <v>19</v>
      </c>
      <c r="N23" s="69" t="str">
        <f>VLOOKUP($L$4,'[1]POS_EAD_0112 a 3101_CAMP. REG)'!$F$5:$G$231,2,FALSE)</f>
        <v>Humanas</v>
      </c>
      <c r="O23" s="69">
        <f>VLOOKUP(L23,'[1]POS_EAD_0112 a 3101_CAMP. REG)'!$F$5:$H$231,3,FALSE)</f>
        <v>6</v>
      </c>
      <c r="P23" s="68">
        <f>VLOOKUP(L23,'[1]POS_EAD_0112 a 3101_CAMP. REG)'!$F$5:$I$231,4,FALSE)</f>
        <v>13</v>
      </c>
      <c r="Q23" s="73">
        <f>VLOOKUP(L23,'[1]POS_EAD_0112 a 3101_CAMP. REG)'!$F$5:$J$231,5,FALSE)</f>
        <v>269.33202599999998</v>
      </c>
      <c r="R23" s="124">
        <f>VLOOKUP(L23,'[1]POS_EAD_0112 a 3101_CAMP. REG)'!$F$5:$L$231,7,FALSE)</f>
        <v>0.45</v>
      </c>
      <c r="S23" s="73">
        <f>VLOOKUP(L23,'[1]POS_EAD_0112 a 3101_CAMP. REG)'!$F$5:$M$231,8,FALSE)</f>
        <v>133.32</v>
      </c>
      <c r="T23" s="124">
        <f>VLOOKUP(L23,'[1]POS_EAD_0112 a 3101_CAMP. REG)'!$F$5:$P$231,11,FALSE)</f>
        <v>0.5</v>
      </c>
      <c r="U23" s="73">
        <f>VLOOKUP(L23,'[1]POS_EAD_0112 a 3101_CAMP. REG)'!$F$5:$Q$231,12,FALSE)</f>
        <v>121.2</v>
      </c>
      <c r="W23" s="121" t="s">
        <v>93</v>
      </c>
      <c r="X23" s="69" t="s">
        <v>19</v>
      </c>
      <c r="Y23" s="69" t="str">
        <f>VLOOKUP(W23,'[1]POS_EAD_0112 a 3101_CAMP. REG)'!$F$231:$G$461,2,FALSE)</f>
        <v>Exatas</v>
      </c>
      <c r="Z23" s="68">
        <f>VLOOKUP(W23,'[1]POS_EAD_0112 a 3101_CAMP. REG)'!$F$231:$H$461,3,FALSE)</f>
        <v>6</v>
      </c>
      <c r="AA23" s="68">
        <f>VLOOKUP(W23,'[1]POS_EAD_0112 a 3101_CAMP. REG)'!$F$231:$I$461,4,FALSE)</f>
        <v>13</v>
      </c>
      <c r="AB23" s="73">
        <f>VLOOKUP(W23,'[1]POS_EAD_0112 a 3101_CAMP. REG)'!$F$231:$J$461,5,FALSE)</f>
        <v>303.42628200000001</v>
      </c>
      <c r="AC23" s="72">
        <f>VLOOKUP(W23,'[1]POS_EAD_0112 a 3101_CAMP. REG)'!$F$231:$L$461,7,FALSE)</f>
        <v>0.45</v>
      </c>
      <c r="AD23" s="73">
        <f>VLOOKUP(W23,'[1]POS_EAD_0112 a 3101_CAMP. REG)'!$F$231:$M$461,8,FALSE)</f>
        <v>150.19999999999999</v>
      </c>
      <c r="AE23" s="72">
        <f>VLOOKUP(W23,'[1]POS_EAD_0112 a 3101_CAMP. REG)'!$F$231:$P$461,11,FALSE)</f>
        <v>0.5</v>
      </c>
      <c r="AF23" s="73">
        <f>VLOOKUP(W23,'[1]POS_EAD_0112 a 3101_CAMP. REG)'!$F$231:$Q$461,12,FALSE)</f>
        <v>136.54</v>
      </c>
      <c r="AH23" s="121" t="s">
        <v>93</v>
      </c>
      <c r="AI23" s="69" t="s">
        <v>19</v>
      </c>
      <c r="AJ23" s="68" t="str">
        <f>VLOOKUP(UNG[[#This Row],[CURSO]],'[1]POS_EAD_0112 a 3101_CAMP. REG)'!$F$463:$G$688,2,FALSE)</f>
        <v>Exatas</v>
      </c>
      <c r="AK23" s="68">
        <f>VLOOKUP(UNG[[#This Row],[CURSO]],'[1]POS_EAD_0112 a 3101_CAMP. REG)'!$F$463:$H$688,3,FALSE)</f>
        <v>6</v>
      </c>
      <c r="AL23" s="68">
        <f>VLOOKUP(UNG[[#This Row],[CURSO]],'[1]POS_EAD_0112 a 3101_CAMP. REG)'!$F$463:$I$688,4,FALSE)</f>
        <v>13</v>
      </c>
      <c r="AM23" s="71">
        <f>VLOOKUP(UNG[[#This Row],[CURSO]],'[1]POS_EAD_0112 a 3101_CAMP. REG)'!$F$463:$J$688,5,FALSE)</f>
        <v>269.33202599999998</v>
      </c>
      <c r="AN23" s="124">
        <f>VLOOKUP(UNG[[#This Row],[CURSO]],'[1]POS_EAD_0112 a 3101_CAMP. REG)'!$F$463:$L$688,7,FALSE)</f>
        <v>0.45</v>
      </c>
      <c r="AO23" s="71">
        <f>VLOOKUP(UNG[[#This Row],[CURSO]],'[1]POS_EAD_0112 a 3101_CAMP. REG)'!$F$463:$M$688,8,FALSE)</f>
        <v>133.32</v>
      </c>
      <c r="AP23" s="124">
        <f>VLOOKUP(UNG[[#This Row],[CURSO]],'[1]POS_EAD_0112 a 3101_CAMP. REG)'!$F$463:$P$688,11,FALSE)</f>
        <v>0.5</v>
      </c>
      <c r="AQ23" s="71">
        <f>VLOOKUP(UNG[[#This Row],[CURSO]],'[1]POS_EAD_0112 a 3101_CAMP. REG)'!$F$463:$Q$688,12,FALSE)</f>
        <v>121.2</v>
      </c>
      <c r="AS23" s="121" t="s">
        <v>93</v>
      </c>
      <c r="AT23" s="69" t="s">
        <v>19</v>
      </c>
      <c r="AU23" s="69" t="str">
        <f>VLOOKUP(UNINASSAU[[#This Row],[CURSO]],'[1]POS_EAD_0112 a 3101_CAMP. REG)'!$F$690:$G$915,2,FALSE)</f>
        <v>Exatas</v>
      </c>
      <c r="AV23" s="69">
        <f>VLOOKUP(UNINASSAU[[#This Row],[CURSO]],'[1]POS_EAD_0112 a 3101_CAMP. REG)'!$F$690:$H$915,3,FALSE)</f>
        <v>6</v>
      </c>
      <c r="AW23" s="69">
        <f>VLOOKUP(UNINASSAU[[#This Row],[CURSO]],'[1]POS_EAD_0112 a 3101_CAMP. REG)'!$F$690:$I$915,4,FALSE)</f>
        <v>13</v>
      </c>
      <c r="AX23" s="73">
        <f>VLOOKUP(UNINASSAU[[#This Row],[CURSO]],'[1]POS_EAD_0112 a 3101_CAMP. REG)'!$F$690:$J$915,5,FALSE)</f>
        <v>269.33202599999998</v>
      </c>
      <c r="AY23" s="72">
        <f>VLOOKUP(UNINASSAU[[#This Row],[CURSO]],'[1]POS_EAD_0112 a 3101_CAMP. REG)'!$F$690:$L$915,7,FALSE)</f>
        <v>0.45</v>
      </c>
      <c r="AZ23" s="73">
        <f>VLOOKUP(UNINASSAU[[#This Row],[CURSO]],'[1]POS_EAD_0112 a 3101_CAMP. REG)'!$F$690:$N$915,8,FALSE)</f>
        <v>133.32</v>
      </c>
      <c r="BA23" s="72">
        <f>VLOOKUP(UNINASSAU[[#This Row],[CURSO]],'[1]POS_EAD_0112 a 3101_CAMP. REG)'!$F$690:$P$915,11,FALSE)</f>
        <v>0.5</v>
      </c>
      <c r="BB23" s="73">
        <f>VLOOKUP(UNINASSAU[[#This Row],[CURSO]],'[1]POS_EAD_0112 a 3101_CAMP. REG)'!$F$690:$Q$915,12,FALSE)</f>
        <v>121.2</v>
      </c>
      <c r="BD23" s="104">
        <v>20</v>
      </c>
      <c r="BE23" s="121" t="s">
        <v>93</v>
      </c>
      <c r="BF23" s="69" t="s">
        <v>19</v>
      </c>
    </row>
    <row r="24" spans="1:72" s="10" customFormat="1" ht="26.25" x14ac:dyDescent="0.25">
      <c r="A24" s="50"/>
      <c r="B24" s="31"/>
      <c r="C24" s="31"/>
      <c r="D24" s="39" t="s">
        <v>27</v>
      </c>
      <c r="E24" s="39" t="s">
        <v>28</v>
      </c>
      <c r="F24" s="39" t="s">
        <v>31</v>
      </c>
      <c r="G24" s="40" t="s">
        <v>32</v>
      </c>
      <c r="H24" s="31"/>
      <c r="I24" s="32"/>
      <c r="J24" s="13"/>
      <c r="K24" s="106"/>
      <c r="L24" s="121" t="s">
        <v>94</v>
      </c>
      <c r="M24" s="69" t="s">
        <v>19</v>
      </c>
      <c r="N24" s="69" t="str">
        <f>VLOOKUP($L$4,'[1]POS_EAD_0112 a 3101_CAMP. REG)'!$F$5:$G$231,2,FALSE)</f>
        <v>Humanas</v>
      </c>
      <c r="O24" s="69">
        <f>VLOOKUP(L24,'[1]POS_EAD_0112 a 3101_CAMP. REG)'!$F$5:$H$231,3,FALSE)</f>
        <v>12</v>
      </c>
      <c r="P24" s="68">
        <f>VLOOKUP(L24,'[1]POS_EAD_0112 a 3101_CAMP. REG)'!$F$5:$I$231,4,FALSE)</f>
        <v>19</v>
      </c>
      <c r="Q24" s="73">
        <f>VLOOKUP(L24,'[1]POS_EAD_0112 a 3101_CAMP. REG)'!$F$5:$J$231,5,FALSE)</f>
        <v>184.28091221052631</v>
      </c>
      <c r="R24" s="124">
        <f>VLOOKUP(L24,'[1]POS_EAD_0112 a 3101_CAMP. REG)'!$F$5:$L$231,7,FALSE)</f>
        <v>0.45</v>
      </c>
      <c r="S24" s="73">
        <f>VLOOKUP(L24,'[1]POS_EAD_0112 a 3101_CAMP. REG)'!$F$5:$M$231,8,FALSE)</f>
        <v>91.22</v>
      </c>
      <c r="T24" s="124">
        <f>VLOOKUP(L24,'[1]POS_EAD_0112 a 3101_CAMP. REG)'!$F$5:$P$231,11,FALSE)</f>
        <v>0.5</v>
      </c>
      <c r="U24" s="73">
        <f>VLOOKUP(L24,'[1]POS_EAD_0112 a 3101_CAMP. REG)'!$F$5:$Q$231,12,FALSE)</f>
        <v>82.93</v>
      </c>
      <c r="V24" s="69"/>
      <c r="W24" s="121" t="s">
        <v>94</v>
      </c>
      <c r="X24" s="69" t="s">
        <v>19</v>
      </c>
      <c r="Y24" s="69" t="str">
        <f>VLOOKUP(W24,'[1]POS_EAD_0112 a 3101_CAMP. REG)'!$F$231:$G$461,2,FALSE)</f>
        <v>Exatas</v>
      </c>
      <c r="Z24" s="68">
        <f>VLOOKUP(W24,'[1]POS_EAD_0112 a 3101_CAMP. REG)'!$F$231:$H$461,3,FALSE)</f>
        <v>12</v>
      </c>
      <c r="AA24" s="68">
        <f>VLOOKUP(W24,'[1]POS_EAD_0112 a 3101_CAMP. REG)'!$F$231:$I$461,4,FALSE)</f>
        <v>19</v>
      </c>
      <c r="AB24" s="73">
        <f>VLOOKUP(W24,'[1]POS_EAD_0112 a 3101_CAMP. REG)'!$F$231:$J$461,5,FALSE)</f>
        <v>207.609666</v>
      </c>
      <c r="AC24" s="72">
        <f>VLOOKUP(W24,'[1]POS_EAD_0112 a 3101_CAMP. REG)'!$F$231:$L$461,7,FALSE)</f>
        <v>0.45</v>
      </c>
      <c r="AD24" s="73">
        <f>VLOOKUP(W24,'[1]POS_EAD_0112 a 3101_CAMP. REG)'!$F$231:$M$461,8,FALSE)</f>
        <v>102.77</v>
      </c>
      <c r="AE24" s="72">
        <f>VLOOKUP(W24,'[1]POS_EAD_0112 a 3101_CAMP. REG)'!$F$231:$P$461,11,FALSE)</f>
        <v>0.5</v>
      </c>
      <c r="AF24" s="73">
        <f>VLOOKUP(W24,'[1]POS_EAD_0112 a 3101_CAMP. REG)'!$F$231:$Q$461,12,FALSE)</f>
        <v>93.42</v>
      </c>
      <c r="AG24" s="74"/>
      <c r="AH24" s="121" t="s">
        <v>94</v>
      </c>
      <c r="AI24" s="69" t="s">
        <v>19</v>
      </c>
      <c r="AJ24" s="68" t="str">
        <f>VLOOKUP(UNG[[#This Row],[CURSO]],'[1]POS_EAD_0112 a 3101_CAMP. REG)'!$F$463:$G$688,2,FALSE)</f>
        <v>Exatas</v>
      </c>
      <c r="AK24" s="68">
        <f>VLOOKUP(UNG[[#This Row],[CURSO]],'[1]POS_EAD_0112 a 3101_CAMP. REG)'!$F$463:$H$688,3,FALSE)</f>
        <v>12</v>
      </c>
      <c r="AL24" s="68">
        <f>VLOOKUP(UNG[[#This Row],[CURSO]],'[1]POS_EAD_0112 a 3101_CAMP. REG)'!$F$463:$I$688,4,FALSE)</f>
        <v>19</v>
      </c>
      <c r="AM24" s="71">
        <f>VLOOKUP(UNG[[#This Row],[CURSO]],'[1]POS_EAD_0112 a 3101_CAMP. REG)'!$F$463:$J$688,5,FALSE)</f>
        <v>184.28091221052631</v>
      </c>
      <c r="AN24" s="124">
        <f>VLOOKUP(UNG[[#This Row],[CURSO]],'[1]POS_EAD_0112 a 3101_CAMP. REG)'!$F$463:$L$688,7,FALSE)</f>
        <v>0.45</v>
      </c>
      <c r="AO24" s="71">
        <f>VLOOKUP(UNG[[#This Row],[CURSO]],'[1]POS_EAD_0112 a 3101_CAMP. REG)'!$F$463:$M$688,8,FALSE)</f>
        <v>91.22</v>
      </c>
      <c r="AP24" s="124">
        <f>VLOOKUP(UNG[[#This Row],[CURSO]],'[1]POS_EAD_0112 a 3101_CAMP. REG)'!$F$463:$P$688,11,FALSE)</f>
        <v>0.5</v>
      </c>
      <c r="AQ24" s="71">
        <f>VLOOKUP(UNG[[#This Row],[CURSO]],'[1]POS_EAD_0112 a 3101_CAMP. REG)'!$F$463:$Q$688,12,FALSE)</f>
        <v>82.93</v>
      </c>
      <c r="AR24" s="74"/>
      <c r="AS24" s="121" t="s">
        <v>94</v>
      </c>
      <c r="AT24" s="69" t="s">
        <v>19</v>
      </c>
      <c r="AU24" s="69" t="str">
        <f>VLOOKUP(UNINASSAU[[#This Row],[CURSO]],'[1]POS_EAD_0112 a 3101_CAMP. REG)'!$F$690:$G$915,2,FALSE)</f>
        <v>Exatas</v>
      </c>
      <c r="AV24" s="69">
        <f>VLOOKUP(UNINASSAU[[#This Row],[CURSO]],'[1]POS_EAD_0112 a 3101_CAMP. REG)'!$F$690:$H$915,3,FALSE)</f>
        <v>12</v>
      </c>
      <c r="AW24" s="69">
        <f>VLOOKUP(UNINASSAU[[#This Row],[CURSO]],'[1]POS_EAD_0112 a 3101_CAMP. REG)'!$F$690:$I$915,4,FALSE)</f>
        <v>19</v>
      </c>
      <c r="AX24" s="73">
        <f>VLOOKUP(UNINASSAU[[#This Row],[CURSO]],'[1]POS_EAD_0112 a 3101_CAMP. REG)'!$F$690:$J$915,5,FALSE)</f>
        <v>184.28091221052631</v>
      </c>
      <c r="AY24" s="72">
        <f>VLOOKUP(UNINASSAU[[#This Row],[CURSO]],'[1]POS_EAD_0112 a 3101_CAMP. REG)'!$F$690:$L$915,7,FALSE)</f>
        <v>0.45</v>
      </c>
      <c r="AZ24" s="73">
        <f>VLOOKUP(UNINASSAU[[#This Row],[CURSO]],'[1]POS_EAD_0112 a 3101_CAMP. REG)'!$F$690:$N$915,8,FALSE)</f>
        <v>91.22</v>
      </c>
      <c r="BA24" s="72">
        <f>VLOOKUP(UNINASSAU[[#This Row],[CURSO]],'[1]POS_EAD_0112 a 3101_CAMP. REG)'!$F$690:$P$915,11,FALSE)</f>
        <v>0.5</v>
      </c>
      <c r="BB24" s="73">
        <f>VLOOKUP(UNINASSAU[[#This Row],[CURSO]],'[1]POS_EAD_0112 a 3101_CAMP. REG)'!$F$690:$Q$915,12,FALSE)</f>
        <v>82.93</v>
      </c>
      <c r="BC24" s="73"/>
      <c r="BD24" s="104">
        <v>21</v>
      </c>
      <c r="BE24" s="121" t="s">
        <v>94</v>
      </c>
      <c r="BF24" s="69" t="s">
        <v>19</v>
      </c>
      <c r="BG24" s="65"/>
      <c r="BH24" s="66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</row>
    <row r="25" spans="1:72" x14ac:dyDescent="0.25">
      <c r="A25" s="48"/>
      <c r="B25" s="28"/>
      <c r="C25" s="28"/>
      <c r="D25" s="41">
        <f ca="1">IFERROR(VLOOKUP($BG$1,INDIRECT($BK$1),7,FALSE),"")</f>
        <v>0.45</v>
      </c>
      <c r="E25" s="42">
        <f ca="1">IFERROR(VLOOKUP($BG$1,INDIRECT($BK$1),8,FALSE),"")</f>
        <v>137.4</v>
      </c>
      <c r="F25" s="43">
        <f ca="1">IFERROR(VLOOKUP($BG$1,INDIRECT($BK$1),5,FALSE),"")</f>
        <v>19</v>
      </c>
      <c r="G25" s="45" t="str">
        <f ca="1">IF(F25&gt;0,"Paga","")</f>
        <v>Paga</v>
      </c>
      <c r="H25" s="28"/>
      <c r="I25" s="29"/>
      <c r="J25" s="8"/>
      <c r="K25" s="69"/>
      <c r="L25" s="121" t="s">
        <v>91</v>
      </c>
      <c r="M25" s="69" t="s">
        <v>19</v>
      </c>
      <c r="N25" s="69" t="str">
        <f>VLOOKUP($L$4,'[1]POS_EAD_0112 a 3101_CAMP. REG)'!$F$5:$G$231,2,FALSE)</f>
        <v>Humanas</v>
      </c>
      <c r="O25" s="69">
        <f>VLOOKUP(L25,'[1]POS_EAD_0112 a 3101_CAMP. REG)'!$F$5:$H$231,3,FALSE)</f>
        <v>6</v>
      </c>
      <c r="P25" s="68">
        <f>VLOOKUP(L25,'[1]POS_EAD_0112 a 3101_CAMP. REG)'!$F$5:$I$231,4,FALSE)</f>
        <v>13</v>
      </c>
      <c r="Q25" s="73">
        <f>VLOOKUP(L25,'[1]POS_EAD_0112 a 3101_CAMP. REG)'!$F$5:$J$231,5,FALSE)</f>
        <v>269.33202599999998</v>
      </c>
      <c r="R25" s="124">
        <f>VLOOKUP(L25,'[1]POS_EAD_0112 a 3101_CAMP. REG)'!$F$5:$L$231,7,FALSE)</f>
        <v>0.45</v>
      </c>
      <c r="S25" s="73">
        <f>VLOOKUP(L25,'[1]POS_EAD_0112 a 3101_CAMP. REG)'!$F$5:$M$231,8,FALSE)</f>
        <v>133.32</v>
      </c>
      <c r="T25" s="124">
        <f>VLOOKUP(L25,'[1]POS_EAD_0112 a 3101_CAMP. REG)'!$F$5:$P$231,11,FALSE)</f>
        <v>0.5</v>
      </c>
      <c r="U25" s="73">
        <f>VLOOKUP(L25,'[1]POS_EAD_0112 a 3101_CAMP. REG)'!$F$5:$Q$231,12,FALSE)</f>
        <v>121.2</v>
      </c>
      <c r="W25" s="121" t="s">
        <v>91</v>
      </c>
      <c r="X25" s="69" t="s">
        <v>19</v>
      </c>
      <c r="Y25" s="69" t="str">
        <f>VLOOKUP(W25,'[1]POS_EAD_0112 a 3101_CAMP. REG)'!$F$231:$G$461,2,FALSE)</f>
        <v>Exatas</v>
      </c>
      <c r="Z25" s="68">
        <f>VLOOKUP(W25,'[1]POS_EAD_0112 a 3101_CAMP. REG)'!$F$231:$H$461,3,FALSE)</f>
        <v>6</v>
      </c>
      <c r="AA25" s="68">
        <f>VLOOKUP(W25,'[1]POS_EAD_0112 a 3101_CAMP. REG)'!$F$231:$I$461,4,FALSE)</f>
        <v>13</v>
      </c>
      <c r="AB25" s="73">
        <f>VLOOKUP(W25,'[1]POS_EAD_0112 a 3101_CAMP. REG)'!$F$231:$J$461,5,FALSE)</f>
        <v>303.42628200000001</v>
      </c>
      <c r="AC25" s="72">
        <f>VLOOKUP(W25,'[1]POS_EAD_0112 a 3101_CAMP. REG)'!$F$231:$L$461,7,FALSE)</f>
        <v>0.45</v>
      </c>
      <c r="AD25" s="73">
        <f>VLOOKUP(W25,'[1]POS_EAD_0112 a 3101_CAMP. REG)'!$F$231:$M$461,8,FALSE)</f>
        <v>150.19999999999999</v>
      </c>
      <c r="AE25" s="72">
        <f>VLOOKUP(W25,'[1]POS_EAD_0112 a 3101_CAMP. REG)'!$F$231:$P$461,11,FALSE)</f>
        <v>0.5</v>
      </c>
      <c r="AF25" s="73">
        <f>VLOOKUP(W25,'[1]POS_EAD_0112 a 3101_CAMP. REG)'!$F$231:$Q$461,12,FALSE)</f>
        <v>136.54</v>
      </c>
      <c r="AH25" s="121" t="s">
        <v>91</v>
      </c>
      <c r="AI25" s="69" t="s">
        <v>19</v>
      </c>
      <c r="AJ25" s="68" t="str">
        <f>VLOOKUP(UNG[[#This Row],[CURSO]],'[1]POS_EAD_0112 a 3101_CAMP. REG)'!$F$463:$G$688,2,FALSE)</f>
        <v>Exatas</v>
      </c>
      <c r="AK25" s="68">
        <f>VLOOKUP(UNG[[#This Row],[CURSO]],'[1]POS_EAD_0112 a 3101_CAMP. REG)'!$F$463:$H$688,3,FALSE)</f>
        <v>6</v>
      </c>
      <c r="AL25" s="68">
        <f>VLOOKUP(UNG[[#This Row],[CURSO]],'[1]POS_EAD_0112 a 3101_CAMP. REG)'!$F$463:$I$688,4,FALSE)</f>
        <v>13</v>
      </c>
      <c r="AM25" s="71">
        <f>VLOOKUP(UNG[[#This Row],[CURSO]],'[1]POS_EAD_0112 a 3101_CAMP. REG)'!$F$463:$J$688,5,FALSE)</f>
        <v>269.33202599999998</v>
      </c>
      <c r="AN25" s="124">
        <f>VLOOKUP(UNG[[#This Row],[CURSO]],'[1]POS_EAD_0112 a 3101_CAMP. REG)'!$F$463:$L$688,7,FALSE)</f>
        <v>0.45</v>
      </c>
      <c r="AO25" s="71">
        <f>VLOOKUP(UNG[[#This Row],[CURSO]],'[1]POS_EAD_0112 a 3101_CAMP. REG)'!$F$463:$M$688,8,FALSE)</f>
        <v>133.32</v>
      </c>
      <c r="AP25" s="124">
        <f>VLOOKUP(UNG[[#This Row],[CURSO]],'[1]POS_EAD_0112 a 3101_CAMP. REG)'!$F$463:$P$688,11,FALSE)</f>
        <v>0.5</v>
      </c>
      <c r="AQ25" s="71">
        <f>VLOOKUP(UNG[[#This Row],[CURSO]],'[1]POS_EAD_0112 a 3101_CAMP. REG)'!$F$463:$Q$688,12,FALSE)</f>
        <v>121.2</v>
      </c>
      <c r="AS25" s="121" t="s">
        <v>91</v>
      </c>
      <c r="AT25" s="69" t="s">
        <v>19</v>
      </c>
      <c r="AU25" s="69" t="str">
        <f>VLOOKUP(UNINASSAU[[#This Row],[CURSO]],'[1]POS_EAD_0112 a 3101_CAMP. REG)'!$F$690:$G$915,2,FALSE)</f>
        <v>Exatas</v>
      </c>
      <c r="AV25" s="69">
        <f>VLOOKUP(UNINASSAU[[#This Row],[CURSO]],'[1]POS_EAD_0112 a 3101_CAMP. REG)'!$F$690:$H$915,3,FALSE)</f>
        <v>6</v>
      </c>
      <c r="AW25" s="69">
        <f>VLOOKUP(UNINASSAU[[#This Row],[CURSO]],'[1]POS_EAD_0112 a 3101_CAMP. REG)'!$F$690:$I$915,4,FALSE)</f>
        <v>13</v>
      </c>
      <c r="AX25" s="73">
        <f>VLOOKUP(UNINASSAU[[#This Row],[CURSO]],'[1]POS_EAD_0112 a 3101_CAMP. REG)'!$F$690:$J$915,5,FALSE)</f>
        <v>269.33202599999998</v>
      </c>
      <c r="AY25" s="72">
        <f>VLOOKUP(UNINASSAU[[#This Row],[CURSO]],'[1]POS_EAD_0112 a 3101_CAMP. REG)'!$F$690:$L$915,7,FALSE)</f>
        <v>0.45</v>
      </c>
      <c r="AZ25" s="73">
        <f>VLOOKUP(UNINASSAU[[#This Row],[CURSO]],'[1]POS_EAD_0112 a 3101_CAMP. REG)'!$F$690:$N$915,8,FALSE)</f>
        <v>133.32</v>
      </c>
      <c r="BA25" s="72">
        <f>VLOOKUP(UNINASSAU[[#This Row],[CURSO]],'[1]POS_EAD_0112 a 3101_CAMP. REG)'!$F$690:$P$915,11,FALSE)</f>
        <v>0.5</v>
      </c>
      <c r="BB25" s="73">
        <f>VLOOKUP(UNINASSAU[[#This Row],[CURSO]],'[1]POS_EAD_0112 a 3101_CAMP. REG)'!$F$690:$Q$915,12,FALSE)</f>
        <v>121.2</v>
      </c>
      <c r="BD25" s="104">
        <v>22</v>
      </c>
      <c r="BE25" s="121" t="s">
        <v>91</v>
      </c>
      <c r="BF25" s="69" t="s">
        <v>19</v>
      </c>
    </row>
    <row r="26" spans="1:72" x14ac:dyDescent="0.25">
      <c r="A26" s="48"/>
      <c r="B26" s="28"/>
      <c r="C26" s="28"/>
      <c r="D26" s="41">
        <f ca="1">IFERROR(VLOOKUP($BG$1,INDIRECT($BK$1),7,FALSE),"")</f>
        <v>0.45</v>
      </c>
      <c r="E26" s="42">
        <f ca="1">IFERROR(VLOOKUP($BG$1,INDIRECT($BK$1),8,FALSE),"")</f>
        <v>137.4</v>
      </c>
      <c r="F26" s="43">
        <f ca="1">IFERROR(VLOOKUP($BG$1,INDIRECT($BK$1),5,FALSE),"")-1</f>
        <v>18</v>
      </c>
      <c r="G26" s="45" t="str">
        <f ca="1">IF(F26&gt;0,"Gratuíta","")</f>
        <v>Gratuíta</v>
      </c>
      <c r="H26" s="28"/>
      <c r="I26" s="29"/>
      <c r="J26" s="8"/>
      <c r="K26" s="69"/>
      <c r="L26" s="121" t="s">
        <v>112</v>
      </c>
      <c r="M26" s="69" t="s">
        <v>19</v>
      </c>
      <c r="N26" s="69" t="str">
        <f>VLOOKUP($L$4,'[1]POS_EAD_0112 a 3101_CAMP. REG)'!$F$5:$G$231,2,FALSE)</f>
        <v>Humanas</v>
      </c>
      <c r="O26" s="69">
        <f>VLOOKUP(L26,'[1]POS_EAD_0112 a 3101_CAMP. REG)'!$F$5:$H$231,3,FALSE)</f>
        <v>12</v>
      </c>
      <c r="P26" s="68">
        <f>VLOOKUP(L26,'[1]POS_EAD_0112 a 3101_CAMP. REG)'!$F$5:$I$231,4,FALSE)</f>
        <v>19</v>
      </c>
      <c r="Q26" s="73">
        <f>VLOOKUP(L26,'[1]POS_EAD_0112 a 3101_CAMP. REG)'!$F$5:$J$231,5,FALSE)</f>
        <v>184.28091221052631</v>
      </c>
      <c r="R26" s="124">
        <f>VLOOKUP(L26,'[1]POS_EAD_0112 a 3101_CAMP. REG)'!$F$5:$L$231,7,FALSE)</f>
        <v>0.45</v>
      </c>
      <c r="S26" s="73">
        <f>VLOOKUP(L26,'[1]POS_EAD_0112 a 3101_CAMP. REG)'!$F$5:$M$231,8,FALSE)</f>
        <v>91.22</v>
      </c>
      <c r="T26" s="124">
        <f>VLOOKUP(L26,'[1]POS_EAD_0112 a 3101_CAMP. REG)'!$F$5:$P$231,11,FALSE)</f>
        <v>0.5</v>
      </c>
      <c r="U26" s="73">
        <f>VLOOKUP(L26,'[1]POS_EAD_0112 a 3101_CAMP. REG)'!$F$5:$Q$231,12,FALSE)</f>
        <v>82.93</v>
      </c>
      <c r="W26" s="121" t="s">
        <v>112</v>
      </c>
      <c r="X26" s="69" t="s">
        <v>19</v>
      </c>
      <c r="Y26" s="69" t="str">
        <f>VLOOKUP(W26,'[1]POS_EAD_0112 a 3101_CAMP. REG)'!$F$231:$G$461,2,FALSE)</f>
        <v>Exatas</v>
      </c>
      <c r="Z26" s="68">
        <f>VLOOKUP(W26,'[1]POS_EAD_0112 a 3101_CAMP. REG)'!$F$231:$H$461,3,FALSE)</f>
        <v>12</v>
      </c>
      <c r="AA26" s="68">
        <f>VLOOKUP(W26,'[1]POS_EAD_0112 a 3101_CAMP. REG)'!$F$231:$I$461,4,FALSE)</f>
        <v>19</v>
      </c>
      <c r="AB26" s="73">
        <f>VLOOKUP(W26,'[1]POS_EAD_0112 a 3101_CAMP. REG)'!$F$231:$J$461,5,FALSE)</f>
        <v>207.609666</v>
      </c>
      <c r="AC26" s="72">
        <f>VLOOKUP(W26,'[1]POS_EAD_0112 a 3101_CAMP. REG)'!$F$231:$L$461,7,FALSE)</f>
        <v>0.45</v>
      </c>
      <c r="AD26" s="73">
        <f>VLOOKUP(W26,'[1]POS_EAD_0112 a 3101_CAMP. REG)'!$F$231:$M$461,8,FALSE)</f>
        <v>102.77</v>
      </c>
      <c r="AE26" s="72">
        <f>VLOOKUP(W26,'[1]POS_EAD_0112 a 3101_CAMP. REG)'!$F$231:$P$461,11,FALSE)</f>
        <v>0.5</v>
      </c>
      <c r="AF26" s="73">
        <f>VLOOKUP(W26,'[1]POS_EAD_0112 a 3101_CAMP. REG)'!$F$231:$Q$461,12,FALSE)</f>
        <v>93.42</v>
      </c>
      <c r="AH26" s="121" t="s">
        <v>112</v>
      </c>
      <c r="AI26" s="69" t="s">
        <v>19</v>
      </c>
      <c r="AJ26" s="68" t="str">
        <f>VLOOKUP(UNG[[#This Row],[CURSO]],'[1]POS_EAD_0112 a 3101_CAMP. REG)'!$F$463:$G$688,2,FALSE)</f>
        <v>Exatas</v>
      </c>
      <c r="AK26" s="68">
        <f>VLOOKUP(UNG[[#This Row],[CURSO]],'[1]POS_EAD_0112 a 3101_CAMP. REG)'!$F$463:$H$688,3,FALSE)</f>
        <v>12</v>
      </c>
      <c r="AL26" s="68">
        <f>VLOOKUP(UNG[[#This Row],[CURSO]],'[1]POS_EAD_0112 a 3101_CAMP. REG)'!$F$463:$I$688,4,FALSE)</f>
        <v>19</v>
      </c>
      <c r="AM26" s="71">
        <f>VLOOKUP(UNG[[#This Row],[CURSO]],'[1]POS_EAD_0112 a 3101_CAMP. REG)'!$F$463:$J$688,5,FALSE)</f>
        <v>184.28091221052631</v>
      </c>
      <c r="AN26" s="124">
        <f>VLOOKUP(UNG[[#This Row],[CURSO]],'[1]POS_EAD_0112 a 3101_CAMP. REG)'!$F$463:$L$688,7,FALSE)</f>
        <v>0.45</v>
      </c>
      <c r="AO26" s="71">
        <f>VLOOKUP(UNG[[#This Row],[CURSO]],'[1]POS_EAD_0112 a 3101_CAMP. REG)'!$F$463:$M$688,8,FALSE)</f>
        <v>91.22</v>
      </c>
      <c r="AP26" s="124">
        <f>VLOOKUP(UNG[[#This Row],[CURSO]],'[1]POS_EAD_0112 a 3101_CAMP. REG)'!$F$463:$P$688,11,FALSE)</f>
        <v>0.5</v>
      </c>
      <c r="AQ26" s="71">
        <f>VLOOKUP(UNG[[#This Row],[CURSO]],'[1]POS_EAD_0112 a 3101_CAMP. REG)'!$F$463:$Q$688,12,FALSE)</f>
        <v>82.93</v>
      </c>
      <c r="AS26" s="121" t="s">
        <v>112</v>
      </c>
      <c r="AT26" s="69" t="s">
        <v>19</v>
      </c>
      <c r="AU26" s="69" t="str">
        <f>VLOOKUP(UNINASSAU[[#This Row],[CURSO]],'[1]POS_EAD_0112 a 3101_CAMP. REG)'!$F$690:$G$915,2,FALSE)</f>
        <v>Exatas</v>
      </c>
      <c r="AV26" s="69">
        <f>VLOOKUP(UNINASSAU[[#This Row],[CURSO]],'[1]POS_EAD_0112 a 3101_CAMP. REG)'!$F$690:$H$915,3,FALSE)</f>
        <v>12</v>
      </c>
      <c r="AW26" s="69">
        <f>VLOOKUP(UNINASSAU[[#This Row],[CURSO]],'[1]POS_EAD_0112 a 3101_CAMP. REG)'!$F$690:$I$915,4,FALSE)</f>
        <v>19</v>
      </c>
      <c r="AX26" s="73">
        <f>VLOOKUP(UNINASSAU[[#This Row],[CURSO]],'[1]POS_EAD_0112 a 3101_CAMP. REG)'!$F$690:$J$915,5,FALSE)</f>
        <v>184.28091221052631</v>
      </c>
      <c r="AY26" s="72">
        <f>VLOOKUP(UNINASSAU[[#This Row],[CURSO]],'[1]POS_EAD_0112 a 3101_CAMP. REG)'!$F$690:$L$915,7,FALSE)</f>
        <v>0.45</v>
      </c>
      <c r="AZ26" s="73">
        <f>VLOOKUP(UNINASSAU[[#This Row],[CURSO]],'[1]POS_EAD_0112 a 3101_CAMP. REG)'!$F$690:$N$915,8,FALSE)</f>
        <v>91.22</v>
      </c>
      <c r="BA26" s="72">
        <f>VLOOKUP(UNINASSAU[[#This Row],[CURSO]],'[1]POS_EAD_0112 a 3101_CAMP. REG)'!$F$690:$P$915,11,FALSE)</f>
        <v>0.5</v>
      </c>
      <c r="BB26" s="73">
        <f>VLOOKUP(UNINASSAU[[#This Row],[CURSO]],'[1]POS_EAD_0112 a 3101_CAMP. REG)'!$F$690:$Q$915,12,FALSE)</f>
        <v>82.93</v>
      </c>
      <c r="BD26" s="104">
        <v>23</v>
      </c>
      <c r="BE26" s="121" t="s">
        <v>112</v>
      </c>
      <c r="BF26" s="69" t="s">
        <v>19</v>
      </c>
    </row>
    <row r="27" spans="1:72" x14ac:dyDescent="0.25">
      <c r="A27" s="48"/>
      <c r="B27" s="28"/>
      <c r="C27" s="28"/>
      <c r="D27" s="41">
        <f ca="1">IFERROR(VLOOKUP($BG$1,INDIRECT($BK$1),9,FALSE),"")</f>
        <v>0.5</v>
      </c>
      <c r="E27" s="42">
        <f ca="1">IFERROR(VLOOKUP($BG$1,INDIRECT($BK$1),10,FALSE),"")</f>
        <v>124.91</v>
      </c>
      <c r="F27" s="43">
        <f ca="1">IFERROR(VLOOKUP($BG$1,INDIRECT($BK$1),5,FALSE),"")</f>
        <v>19</v>
      </c>
      <c r="G27" s="45" t="str">
        <f ca="1">IF(F27&gt;0,"Paga","")</f>
        <v>Paga</v>
      </c>
      <c r="H27" s="28"/>
      <c r="I27" s="29"/>
      <c r="J27" s="8"/>
      <c r="K27" s="69"/>
      <c r="L27" s="121" t="s">
        <v>126</v>
      </c>
      <c r="M27" s="69" t="s">
        <v>19</v>
      </c>
      <c r="N27" s="69" t="str">
        <f>VLOOKUP($L$4,'[1]POS_EAD_0112 a 3101_CAMP. REG)'!$F$5:$G$231,2,FALSE)</f>
        <v>Humanas</v>
      </c>
      <c r="O27" s="69">
        <f>VLOOKUP(L27,'[1]POS_EAD_0112 a 3101_CAMP. REG)'!$F$5:$H$231,3,FALSE)</f>
        <v>12</v>
      </c>
      <c r="P27" s="68">
        <f>VLOOKUP(L27,'[1]POS_EAD_0112 a 3101_CAMP. REG)'!$F$5:$I$231,4,FALSE)</f>
        <v>19</v>
      </c>
      <c r="Q27" s="73">
        <f>VLOOKUP(L27,'[1]POS_EAD_0112 a 3101_CAMP. REG)'!$F$5:$J$231,5,FALSE)</f>
        <v>184.28091221052631</v>
      </c>
      <c r="R27" s="124">
        <f>VLOOKUP(L27,'[1]POS_EAD_0112 a 3101_CAMP. REG)'!$F$5:$L$231,7,FALSE)</f>
        <v>0.45</v>
      </c>
      <c r="S27" s="73">
        <f>VLOOKUP(L27,'[1]POS_EAD_0112 a 3101_CAMP. REG)'!$F$5:$M$231,8,FALSE)</f>
        <v>91.22</v>
      </c>
      <c r="T27" s="124">
        <f>VLOOKUP(L27,'[1]POS_EAD_0112 a 3101_CAMP. REG)'!$F$5:$P$231,11,FALSE)</f>
        <v>0.5</v>
      </c>
      <c r="U27" s="73">
        <f>VLOOKUP(L27,'[1]POS_EAD_0112 a 3101_CAMP. REG)'!$F$5:$Q$231,12,FALSE)</f>
        <v>82.93</v>
      </c>
      <c r="W27" s="121" t="s">
        <v>126</v>
      </c>
      <c r="X27" s="69" t="s">
        <v>19</v>
      </c>
      <c r="Y27" s="69" t="str">
        <f>VLOOKUP(W27,'[1]POS_EAD_0112 a 3101_CAMP. REG)'!$F$231:$G$461,2,FALSE)</f>
        <v>Negócios</v>
      </c>
      <c r="Z27" s="68">
        <f>VLOOKUP(W27,'[1]POS_EAD_0112 a 3101_CAMP. REG)'!$F$231:$H$461,3,FALSE)</f>
        <v>12</v>
      </c>
      <c r="AA27" s="68">
        <f>VLOOKUP(W27,'[1]POS_EAD_0112 a 3101_CAMP. REG)'!$F$231:$I$461,4,FALSE)</f>
        <v>19</v>
      </c>
      <c r="AB27" s="73">
        <f>VLOOKUP(W27,'[1]POS_EAD_0112 a 3101_CAMP. REG)'!$F$231:$J$461,5,FALSE)</f>
        <v>207.609666</v>
      </c>
      <c r="AC27" s="72">
        <f>VLOOKUP(W27,'[1]POS_EAD_0112 a 3101_CAMP. REG)'!$F$231:$L$461,7,FALSE)</f>
        <v>0.45</v>
      </c>
      <c r="AD27" s="73">
        <f>VLOOKUP(W27,'[1]POS_EAD_0112 a 3101_CAMP. REG)'!$F$231:$M$461,8,FALSE)</f>
        <v>102.77</v>
      </c>
      <c r="AE27" s="72">
        <f>VLOOKUP(W27,'[1]POS_EAD_0112 a 3101_CAMP. REG)'!$F$231:$P$461,11,FALSE)</f>
        <v>0.5</v>
      </c>
      <c r="AF27" s="73">
        <f>VLOOKUP(W27,'[1]POS_EAD_0112 a 3101_CAMP. REG)'!$F$231:$Q$461,12,FALSE)</f>
        <v>93.42</v>
      </c>
      <c r="AH27" s="121" t="s">
        <v>126</v>
      </c>
      <c r="AI27" s="69" t="s">
        <v>19</v>
      </c>
      <c r="AJ27" s="68" t="str">
        <f>VLOOKUP(UNG[[#This Row],[CURSO]],'[1]POS_EAD_0112 a 3101_CAMP. REG)'!$F$463:$G$688,2,FALSE)</f>
        <v>Negócios</v>
      </c>
      <c r="AK27" s="68">
        <f>VLOOKUP(UNG[[#This Row],[CURSO]],'[1]POS_EAD_0112 a 3101_CAMP. REG)'!$F$463:$H$688,3,FALSE)</f>
        <v>12</v>
      </c>
      <c r="AL27" s="68">
        <f>VLOOKUP(UNG[[#This Row],[CURSO]],'[1]POS_EAD_0112 a 3101_CAMP. REG)'!$F$463:$I$688,4,FALSE)</f>
        <v>19</v>
      </c>
      <c r="AM27" s="71">
        <f>VLOOKUP(UNG[[#This Row],[CURSO]],'[1]POS_EAD_0112 a 3101_CAMP. REG)'!$F$463:$J$688,5,FALSE)</f>
        <v>184.28091221052631</v>
      </c>
      <c r="AN27" s="124">
        <f>VLOOKUP(UNG[[#This Row],[CURSO]],'[1]POS_EAD_0112 a 3101_CAMP. REG)'!$F$463:$L$688,7,FALSE)</f>
        <v>0.45</v>
      </c>
      <c r="AO27" s="71">
        <f>VLOOKUP(UNG[[#This Row],[CURSO]],'[1]POS_EAD_0112 a 3101_CAMP. REG)'!$F$463:$M$688,8,FALSE)</f>
        <v>91.22</v>
      </c>
      <c r="AP27" s="124">
        <f>VLOOKUP(UNG[[#This Row],[CURSO]],'[1]POS_EAD_0112 a 3101_CAMP. REG)'!$F$463:$P$688,11,FALSE)</f>
        <v>0.5</v>
      </c>
      <c r="AQ27" s="71">
        <f>VLOOKUP(UNG[[#This Row],[CURSO]],'[1]POS_EAD_0112 a 3101_CAMP. REG)'!$F$463:$Q$688,12,FALSE)</f>
        <v>82.93</v>
      </c>
      <c r="AS27" s="121" t="s">
        <v>126</v>
      </c>
      <c r="AT27" s="69" t="s">
        <v>19</v>
      </c>
      <c r="AU27" s="69" t="str">
        <f>VLOOKUP(UNINASSAU[[#This Row],[CURSO]],'[1]POS_EAD_0112 a 3101_CAMP. REG)'!$F$690:$G$915,2,FALSE)</f>
        <v>Negócios</v>
      </c>
      <c r="AV27" s="69">
        <f>VLOOKUP(UNINASSAU[[#This Row],[CURSO]],'[1]POS_EAD_0112 a 3101_CAMP. REG)'!$F$690:$H$915,3,FALSE)</f>
        <v>12</v>
      </c>
      <c r="AW27" s="69">
        <f>VLOOKUP(UNINASSAU[[#This Row],[CURSO]],'[1]POS_EAD_0112 a 3101_CAMP. REG)'!$F$690:$I$915,4,FALSE)</f>
        <v>19</v>
      </c>
      <c r="AX27" s="73">
        <f>VLOOKUP(UNINASSAU[[#This Row],[CURSO]],'[1]POS_EAD_0112 a 3101_CAMP. REG)'!$F$690:$J$915,5,FALSE)</f>
        <v>184.28091221052631</v>
      </c>
      <c r="AY27" s="72">
        <f>VLOOKUP(UNINASSAU[[#This Row],[CURSO]],'[1]POS_EAD_0112 a 3101_CAMP. REG)'!$F$690:$L$915,7,FALSE)</f>
        <v>0.45</v>
      </c>
      <c r="AZ27" s="73">
        <f>VLOOKUP(UNINASSAU[[#This Row],[CURSO]],'[1]POS_EAD_0112 a 3101_CAMP. REG)'!$F$690:$N$915,8,FALSE)</f>
        <v>91.22</v>
      </c>
      <c r="BA27" s="72">
        <f>VLOOKUP(UNINASSAU[[#This Row],[CURSO]],'[1]POS_EAD_0112 a 3101_CAMP. REG)'!$F$690:$P$915,11,FALSE)</f>
        <v>0.5</v>
      </c>
      <c r="BB27" s="73">
        <f>VLOOKUP(UNINASSAU[[#This Row],[CURSO]],'[1]POS_EAD_0112 a 3101_CAMP. REG)'!$F$690:$Q$915,12,FALSE)</f>
        <v>82.93</v>
      </c>
      <c r="BD27" s="104">
        <v>24</v>
      </c>
      <c r="BE27" s="121" t="s">
        <v>126</v>
      </c>
      <c r="BF27" s="69" t="s">
        <v>19</v>
      </c>
    </row>
    <row r="28" spans="1:72" x14ac:dyDescent="0.25">
      <c r="A28" s="47"/>
      <c r="B28" s="28"/>
      <c r="C28" s="28"/>
      <c r="D28" s="41">
        <f ca="1">IFERROR(VLOOKUP($BG$1,INDIRECT($BK$1),9,FALSE),"")</f>
        <v>0.5</v>
      </c>
      <c r="E28" s="42">
        <f ca="1">IFERROR(VLOOKUP($BG$1,INDIRECT($BK$1),10,FALSE),"")</f>
        <v>124.91</v>
      </c>
      <c r="F28" s="43">
        <f ca="1">IFERROR(VLOOKUP($BG$1,INDIRECT($BK$1),5,FALSE),"")-1</f>
        <v>18</v>
      </c>
      <c r="G28" s="45" t="str">
        <f ca="1">IF(F28&gt;0,"Gratuíta","")</f>
        <v>Gratuíta</v>
      </c>
      <c r="H28" s="28"/>
      <c r="I28" s="29"/>
      <c r="J28" s="1"/>
      <c r="L28" s="121" t="s">
        <v>110</v>
      </c>
      <c r="M28" s="69" t="s">
        <v>19</v>
      </c>
      <c r="N28" s="69" t="str">
        <f>VLOOKUP($L$4,'[1]POS_EAD_0112 a 3101_CAMP. REG)'!$F$5:$G$231,2,FALSE)</f>
        <v>Humanas</v>
      </c>
      <c r="O28" s="69">
        <f>VLOOKUP(L28,'[1]POS_EAD_0112 a 3101_CAMP. REG)'!$F$5:$H$231,3,FALSE)</f>
        <v>6</v>
      </c>
      <c r="P28" s="68">
        <f>VLOOKUP(L28,'[1]POS_EAD_0112 a 3101_CAMP. REG)'!$F$5:$I$231,4,FALSE)</f>
        <v>13</v>
      </c>
      <c r="Q28" s="73">
        <f>VLOOKUP(L28,'[1]POS_EAD_0112 a 3101_CAMP. REG)'!$F$5:$J$231,5,FALSE)</f>
        <v>269.33202599999998</v>
      </c>
      <c r="R28" s="124">
        <f>VLOOKUP(L28,'[1]POS_EAD_0112 a 3101_CAMP. REG)'!$F$5:$L$231,7,FALSE)</f>
        <v>0.45</v>
      </c>
      <c r="S28" s="73">
        <f>VLOOKUP(L28,'[1]POS_EAD_0112 a 3101_CAMP. REG)'!$F$5:$M$231,8,FALSE)</f>
        <v>133.32</v>
      </c>
      <c r="T28" s="124">
        <f>VLOOKUP(L28,'[1]POS_EAD_0112 a 3101_CAMP. REG)'!$F$5:$P$231,11,FALSE)</f>
        <v>0.5</v>
      </c>
      <c r="U28" s="73">
        <f>VLOOKUP(L28,'[1]POS_EAD_0112 a 3101_CAMP. REG)'!$F$5:$Q$231,12,FALSE)</f>
        <v>121.2</v>
      </c>
      <c r="W28" s="121" t="s">
        <v>110</v>
      </c>
      <c r="X28" s="69" t="s">
        <v>19</v>
      </c>
      <c r="Y28" s="69" t="str">
        <f>VLOOKUP(W28,'[1]POS_EAD_0112 a 3101_CAMP. REG)'!$F$231:$G$461,2,FALSE)</f>
        <v>Humanas</v>
      </c>
      <c r="Z28" s="68">
        <f>VLOOKUP(W28,'[1]POS_EAD_0112 a 3101_CAMP. REG)'!$F$231:$H$461,3,FALSE)</f>
        <v>6</v>
      </c>
      <c r="AA28" s="68">
        <f>VLOOKUP(W28,'[1]POS_EAD_0112 a 3101_CAMP. REG)'!$F$231:$I$461,4,FALSE)</f>
        <v>13</v>
      </c>
      <c r="AB28" s="73">
        <f>VLOOKUP(W28,'[1]POS_EAD_0112 a 3101_CAMP. REG)'!$F$231:$J$461,5,FALSE)</f>
        <v>303.42628200000001</v>
      </c>
      <c r="AC28" s="72">
        <f>VLOOKUP(W28,'[1]POS_EAD_0112 a 3101_CAMP. REG)'!$F$231:$L$461,7,FALSE)</f>
        <v>0.45</v>
      </c>
      <c r="AD28" s="73">
        <f>VLOOKUP(W28,'[1]POS_EAD_0112 a 3101_CAMP. REG)'!$F$231:$M$461,8,FALSE)</f>
        <v>150.19999999999999</v>
      </c>
      <c r="AE28" s="72">
        <f>VLOOKUP(W28,'[1]POS_EAD_0112 a 3101_CAMP. REG)'!$F$231:$P$461,11,FALSE)</f>
        <v>0.5</v>
      </c>
      <c r="AF28" s="73">
        <f>VLOOKUP(W28,'[1]POS_EAD_0112 a 3101_CAMP. REG)'!$F$231:$Q$461,12,FALSE)</f>
        <v>136.54</v>
      </c>
      <c r="AH28" s="121" t="s">
        <v>110</v>
      </c>
      <c r="AI28" s="69" t="s">
        <v>19</v>
      </c>
      <c r="AJ28" s="68" t="str">
        <f>VLOOKUP(UNG[[#This Row],[CURSO]],'[1]POS_EAD_0112 a 3101_CAMP. REG)'!$F$463:$G$688,2,FALSE)</f>
        <v>Humanas</v>
      </c>
      <c r="AK28" s="68">
        <f>VLOOKUP(UNG[[#This Row],[CURSO]],'[1]POS_EAD_0112 a 3101_CAMP. REG)'!$F$463:$H$688,3,FALSE)</f>
        <v>6</v>
      </c>
      <c r="AL28" s="68">
        <f>VLOOKUP(UNG[[#This Row],[CURSO]],'[1]POS_EAD_0112 a 3101_CAMP. REG)'!$F$463:$I$688,4,FALSE)</f>
        <v>13</v>
      </c>
      <c r="AM28" s="71">
        <f>VLOOKUP(UNG[[#This Row],[CURSO]],'[1]POS_EAD_0112 a 3101_CAMP. REG)'!$F$463:$J$688,5,FALSE)</f>
        <v>269.33202599999998</v>
      </c>
      <c r="AN28" s="124">
        <f>VLOOKUP(UNG[[#This Row],[CURSO]],'[1]POS_EAD_0112 a 3101_CAMP. REG)'!$F$463:$L$688,7,FALSE)</f>
        <v>0.45</v>
      </c>
      <c r="AO28" s="71">
        <f>VLOOKUP(UNG[[#This Row],[CURSO]],'[1]POS_EAD_0112 a 3101_CAMP. REG)'!$F$463:$M$688,8,FALSE)</f>
        <v>133.32</v>
      </c>
      <c r="AP28" s="124">
        <f>VLOOKUP(UNG[[#This Row],[CURSO]],'[1]POS_EAD_0112 a 3101_CAMP. REG)'!$F$463:$P$688,11,FALSE)</f>
        <v>0.5</v>
      </c>
      <c r="AQ28" s="71">
        <f>VLOOKUP(UNG[[#This Row],[CURSO]],'[1]POS_EAD_0112 a 3101_CAMP. REG)'!$F$463:$Q$688,12,FALSE)</f>
        <v>121.2</v>
      </c>
      <c r="AS28" s="121" t="s">
        <v>110</v>
      </c>
      <c r="AT28" s="69" t="s">
        <v>19</v>
      </c>
      <c r="AU28" s="69" t="str">
        <f>VLOOKUP(UNINASSAU[[#This Row],[CURSO]],'[1]POS_EAD_0112 a 3101_CAMP. REG)'!$F$690:$G$915,2,FALSE)</f>
        <v>Humanas</v>
      </c>
      <c r="AV28" s="69">
        <f>VLOOKUP(UNINASSAU[[#This Row],[CURSO]],'[1]POS_EAD_0112 a 3101_CAMP. REG)'!$F$690:$H$915,3,FALSE)</f>
        <v>6</v>
      </c>
      <c r="AW28" s="69">
        <f>VLOOKUP(UNINASSAU[[#This Row],[CURSO]],'[1]POS_EAD_0112 a 3101_CAMP. REG)'!$F$690:$I$915,4,FALSE)</f>
        <v>13</v>
      </c>
      <c r="AX28" s="73">
        <f>VLOOKUP(UNINASSAU[[#This Row],[CURSO]],'[1]POS_EAD_0112 a 3101_CAMP. REG)'!$F$690:$J$915,5,FALSE)</f>
        <v>269.33202599999998</v>
      </c>
      <c r="AY28" s="72">
        <f>VLOOKUP(UNINASSAU[[#This Row],[CURSO]],'[1]POS_EAD_0112 a 3101_CAMP. REG)'!$F$690:$L$915,7,FALSE)</f>
        <v>0.45</v>
      </c>
      <c r="AZ28" s="73">
        <f>VLOOKUP(UNINASSAU[[#This Row],[CURSO]],'[1]POS_EAD_0112 a 3101_CAMP. REG)'!$F$690:$N$915,8,FALSE)</f>
        <v>133.32</v>
      </c>
      <c r="BA28" s="72">
        <f>VLOOKUP(UNINASSAU[[#This Row],[CURSO]],'[1]POS_EAD_0112 a 3101_CAMP. REG)'!$F$690:$P$915,11,FALSE)</f>
        <v>0.5</v>
      </c>
      <c r="BB28" s="73">
        <f>VLOOKUP(UNINASSAU[[#This Row],[CURSO]],'[1]POS_EAD_0112 a 3101_CAMP. REG)'!$F$690:$Q$915,12,FALSE)</f>
        <v>121.2</v>
      </c>
      <c r="BD28" s="104">
        <v>25</v>
      </c>
      <c r="BE28" s="121" t="s">
        <v>110</v>
      </c>
      <c r="BF28" s="69" t="s">
        <v>19</v>
      </c>
    </row>
    <row r="29" spans="1:72" x14ac:dyDescent="0.25">
      <c r="A29" s="164" t="s">
        <v>362</v>
      </c>
      <c r="B29" s="17"/>
      <c r="C29" s="17"/>
      <c r="D29" s="26" t="str">
        <f ca="1">IF(D20=0,"","▶  O valor da mensalidade já inclui o desconto de pontualidade de 10% para pagamento no dia 08/mês")</f>
        <v>▶  O valor da mensalidade já inclui o desconto de pontualidade de 10% para pagamento no dia 08/mês</v>
      </c>
      <c r="E29" s="18"/>
      <c r="F29" s="18"/>
      <c r="G29" s="17"/>
      <c r="H29" s="17"/>
      <c r="I29" s="19"/>
      <c r="L29" s="121" t="s">
        <v>34</v>
      </c>
      <c r="M29" s="69" t="s">
        <v>19</v>
      </c>
      <c r="N29" s="69" t="str">
        <f>VLOOKUP($L$4,'[1]POS_EAD_0112 a 3101_CAMP. REG)'!$F$5:$G$231,2,FALSE)</f>
        <v>Humanas</v>
      </c>
      <c r="O29" s="69">
        <f>VLOOKUP(L29,'[1]POS_EAD_0112 a 3101_CAMP. REG)'!$F$5:$H$231,3,FALSE)</f>
        <v>6</v>
      </c>
      <c r="P29" s="68">
        <f>VLOOKUP(L29,'[1]POS_EAD_0112 a 3101_CAMP. REG)'!$F$5:$I$231,4,FALSE)</f>
        <v>13</v>
      </c>
      <c r="Q29" s="73">
        <f>VLOOKUP(L29,'[1]POS_EAD_0112 a 3101_CAMP. REG)'!$F$5:$J$231,5,FALSE)</f>
        <v>269.33202599999998</v>
      </c>
      <c r="R29" s="124">
        <f>VLOOKUP(L29,'[1]POS_EAD_0112 a 3101_CAMP. REG)'!$F$5:$L$231,7,FALSE)</f>
        <v>0.45</v>
      </c>
      <c r="S29" s="73">
        <f>VLOOKUP(L29,'[1]POS_EAD_0112 a 3101_CAMP. REG)'!$F$5:$M$231,8,FALSE)</f>
        <v>133.32</v>
      </c>
      <c r="T29" s="124">
        <f>VLOOKUP(L29,'[1]POS_EAD_0112 a 3101_CAMP. REG)'!$F$5:$P$231,11,FALSE)</f>
        <v>0.5</v>
      </c>
      <c r="U29" s="73">
        <f>VLOOKUP(L29,'[1]POS_EAD_0112 a 3101_CAMP. REG)'!$F$5:$Q$231,12,FALSE)</f>
        <v>121.2</v>
      </c>
      <c r="W29" s="121" t="s">
        <v>34</v>
      </c>
      <c r="X29" s="69" t="s">
        <v>19</v>
      </c>
      <c r="Y29" s="69" t="str">
        <f>VLOOKUP(W29,'[1]POS_EAD_0112 a 3101_CAMP. REG)'!$F$231:$G$461,2,FALSE)</f>
        <v>Humanas</v>
      </c>
      <c r="Z29" s="68">
        <f>VLOOKUP(W29,'[1]POS_EAD_0112 a 3101_CAMP. REG)'!$F$231:$H$461,3,FALSE)</f>
        <v>6</v>
      </c>
      <c r="AA29" s="68">
        <f>VLOOKUP(W29,'[1]POS_EAD_0112 a 3101_CAMP. REG)'!$F$231:$I$461,4,FALSE)</f>
        <v>13</v>
      </c>
      <c r="AB29" s="73">
        <f>VLOOKUP(W29,'[1]POS_EAD_0112 a 3101_CAMP. REG)'!$F$231:$J$461,5,FALSE)</f>
        <v>303.42628200000001</v>
      </c>
      <c r="AC29" s="72">
        <f>VLOOKUP(W29,'[1]POS_EAD_0112 a 3101_CAMP. REG)'!$F$231:$L$461,7,FALSE)</f>
        <v>0.45</v>
      </c>
      <c r="AD29" s="73">
        <f>VLOOKUP(W29,'[1]POS_EAD_0112 a 3101_CAMP. REG)'!$F$231:$M$461,8,FALSE)</f>
        <v>150.19999999999999</v>
      </c>
      <c r="AE29" s="72">
        <f>VLOOKUP(W29,'[1]POS_EAD_0112 a 3101_CAMP. REG)'!$F$231:$P$461,11,FALSE)</f>
        <v>0.5</v>
      </c>
      <c r="AF29" s="73">
        <f>VLOOKUP(W29,'[1]POS_EAD_0112 a 3101_CAMP. REG)'!$F$231:$Q$461,12,FALSE)</f>
        <v>136.54</v>
      </c>
      <c r="AH29" s="121" t="s">
        <v>34</v>
      </c>
      <c r="AI29" s="69" t="s">
        <v>19</v>
      </c>
      <c r="AJ29" s="68" t="str">
        <f>VLOOKUP(UNG[[#This Row],[CURSO]],'[1]POS_EAD_0112 a 3101_CAMP. REG)'!$F$463:$G$688,2,FALSE)</f>
        <v>Humanas</v>
      </c>
      <c r="AK29" s="68">
        <f>VLOOKUP(UNG[[#This Row],[CURSO]],'[1]POS_EAD_0112 a 3101_CAMP. REG)'!$F$463:$H$688,3,FALSE)</f>
        <v>6</v>
      </c>
      <c r="AL29" s="68">
        <f>VLOOKUP(UNG[[#This Row],[CURSO]],'[1]POS_EAD_0112 a 3101_CAMP. REG)'!$F$463:$I$688,4,FALSE)</f>
        <v>13</v>
      </c>
      <c r="AM29" s="71">
        <f>VLOOKUP(UNG[[#This Row],[CURSO]],'[1]POS_EAD_0112 a 3101_CAMP. REG)'!$F$463:$J$688,5,FALSE)</f>
        <v>269.33202599999998</v>
      </c>
      <c r="AN29" s="124">
        <f>VLOOKUP(UNG[[#This Row],[CURSO]],'[1]POS_EAD_0112 a 3101_CAMP. REG)'!$F$463:$L$688,7,FALSE)</f>
        <v>0.45</v>
      </c>
      <c r="AO29" s="71">
        <f>VLOOKUP(UNG[[#This Row],[CURSO]],'[1]POS_EAD_0112 a 3101_CAMP. REG)'!$F$463:$M$688,8,FALSE)</f>
        <v>133.32</v>
      </c>
      <c r="AP29" s="124">
        <f>VLOOKUP(UNG[[#This Row],[CURSO]],'[1]POS_EAD_0112 a 3101_CAMP. REG)'!$F$463:$P$688,11,FALSE)</f>
        <v>0.5</v>
      </c>
      <c r="AQ29" s="71">
        <f>VLOOKUP(UNG[[#This Row],[CURSO]],'[1]POS_EAD_0112 a 3101_CAMP. REG)'!$F$463:$Q$688,12,FALSE)</f>
        <v>121.2</v>
      </c>
      <c r="AS29" s="121" t="s">
        <v>34</v>
      </c>
      <c r="AT29" s="69" t="s">
        <v>19</v>
      </c>
      <c r="AU29" s="69" t="str">
        <f>VLOOKUP(UNINASSAU[[#This Row],[CURSO]],'[1]POS_EAD_0112 a 3101_CAMP. REG)'!$F$690:$G$915,2,FALSE)</f>
        <v>Humanas</v>
      </c>
      <c r="AV29" s="69">
        <f>VLOOKUP(UNINASSAU[[#This Row],[CURSO]],'[1]POS_EAD_0112 a 3101_CAMP. REG)'!$F$690:$H$915,3,FALSE)</f>
        <v>6</v>
      </c>
      <c r="AW29" s="69">
        <f>VLOOKUP(UNINASSAU[[#This Row],[CURSO]],'[1]POS_EAD_0112 a 3101_CAMP. REG)'!$F$690:$I$915,4,FALSE)</f>
        <v>13</v>
      </c>
      <c r="AX29" s="73">
        <f>VLOOKUP(UNINASSAU[[#This Row],[CURSO]],'[1]POS_EAD_0112 a 3101_CAMP. REG)'!$F$690:$J$915,5,FALSE)</f>
        <v>269.33202599999998</v>
      </c>
      <c r="AY29" s="72">
        <f>VLOOKUP(UNINASSAU[[#This Row],[CURSO]],'[1]POS_EAD_0112 a 3101_CAMP. REG)'!$F$690:$L$915,7,FALSE)</f>
        <v>0.45</v>
      </c>
      <c r="AZ29" s="73">
        <f>VLOOKUP(UNINASSAU[[#This Row],[CURSO]],'[1]POS_EAD_0112 a 3101_CAMP. REG)'!$F$690:$N$915,8,FALSE)</f>
        <v>133.32</v>
      </c>
      <c r="BA29" s="72">
        <f>VLOOKUP(UNINASSAU[[#This Row],[CURSO]],'[1]POS_EAD_0112 a 3101_CAMP. REG)'!$F$690:$P$915,11,FALSE)</f>
        <v>0.5</v>
      </c>
      <c r="BB29" s="73">
        <f>VLOOKUP(UNINASSAU[[#This Row],[CURSO]],'[1]POS_EAD_0112 a 3101_CAMP. REG)'!$F$690:$Q$915,12,FALSE)</f>
        <v>121.2</v>
      </c>
      <c r="BD29" s="104">
        <v>26</v>
      </c>
      <c r="BE29" s="121" t="s">
        <v>34</v>
      </c>
      <c r="BF29" s="69" t="s">
        <v>19</v>
      </c>
    </row>
    <row r="30" spans="1:72" ht="15.75" thickBot="1" x14ac:dyDescent="0.3">
      <c r="A30" s="165"/>
      <c r="B30" s="34"/>
      <c r="C30" s="34"/>
      <c r="D30" s="34"/>
      <c r="E30" s="35"/>
      <c r="F30" s="35"/>
      <c r="G30" s="34"/>
      <c r="H30" s="34"/>
      <c r="I30" s="36"/>
      <c r="L30" s="121" t="s">
        <v>102</v>
      </c>
      <c r="M30" s="69" t="s">
        <v>19</v>
      </c>
      <c r="N30" s="69" t="str">
        <f>VLOOKUP($L$4,'[1]POS_EAD_0112 a 3101_CAMP. REG)'!$F$5:$G$231,2,FALSE)</f>
        <v>Humanas</v>
      </c>
      <c r="O30" s="69">
        <f>VLOOKUP(L30,'[1]POS_EAD_0112 a 3101_CAMP. REG)'!$F$5:$H$231,3,FALSE)</f>
        <v>6</v>
      </c>
      <c r="P30" s="68">
        <f>VLOOKUP(L30,'[1]POS_EAD_0112 a 3101_CAMP. REG)'!$F$5:$I$231,4,FALSE)</f>
        <v>13</v>
      </c>
      <c r="Q30" s="73">
        <f>VLOOKUP(L30,'[1]POS_EAD_0112 a 3101_CAMP. REG)'!$F$5:$J$231,5,FALSE)</f>
        <v>405.70905000000005</v>
      </c>
      <c r="R30" s="124">
        <f>VLOOKUP(L30,'[1]POS_EAD_0112 a 3101_CAMP. REG)'!$F$5:$L$231,7,FALSE)</f>
        <v>0.45</v>
      </c>
      <c r="S30" s="73">
        <f>VLOOKUP(L30,'[1]POS_EAD_0112 a 3101_CAMP. REG)'!$F$5:$M$231,8,FALSE)</f>
        <v>200.83</v>
      </c>
      <c r="T30" s="124">
        <f>VLOOKUP(L30,'[1]POS_EAD_0112 a 3101_CAMP. REG)'!$F$5:$P$231,11,FALSE)</f>
        <v>0.5</v>
      </c>
      <c r="U30" s="73">
        <f>VLOOKUP(L30,'[1]POS_EAD_0112 a 3101_CAMP. REG)'!$F$5:$Q$231,12,FALSE)</f>
        <v>182.57</v>
      </c>
      <c r="W30" s="121" t="s">
        <v>102</v>
      </c>
      <c r="X30" s="69" t="s">
        <v>19</v>
      </c>
      <c r="Y30" s="69" t="str">
        <f>VLOOKUP(W30,'[1]POS_EAD_0112 a 3101_CAMP. REG)'!$F$231:$G$461,2,FALSE)</f>
        <v>Saúde</v>
      </c>
      <c r="Z30" s="68">
        <f>VLOOKUP(W30,'[1]POS_EAD_0112 a 3101_CAMP. REG)'!$F$231:$H$461,3,FALSE)</f>
        <v>6</v>
      </c>
      <c r="AA30" s="68">
        <f>VLOOKUP(W30,'[1]POS_EAD_0112 a 3101_CAMP. REG)'!$F$231:$I$461,4,FALSE)</f>
        <v>13</v>
      </c>
      <c r="AB30" s="73">
        <f>VLOOKUP(W30,'[1]POS_EAD_0112 a 3101_CAMP. REG)'!$F$231:$J$461,5,FALSE)</f>
        <v>439.79280900000003</v>
      </c>
      <c r="AC30" s="72">
        <f>VLOOKUP(W30,'[1]POS_EAD_0112 a 3101_CAMP. REG)'!$F$231:$L$461,7,FALSE)</f>
        <v>0.45</v>
      </c>
      <c r="AD30" s="73">
        <f>VLOOKUP(W30,'[1]POS_EAD_0112 a 3101_CAMP. REG)'!$F$231:$M$461,8,FALSE)</f>
        <v>217.7</v>
      </c>
      <c r="AE30" s="72">
        <f>VLOOKUP(W30,'[1]POS_EAD_0112 a 3101_CAMP. REG)'!$F$231:$P$461,11,FALSE)</f>
        <v>0.5</v>
      </c>
      <c r="AF30" s="73">
        <f>VLOOKUP(W30,'[1]POS_EAD_0112 a 3101_CAMP. REG)'!$F$231:$Q$461,12,FALSE)</f>
        <v>197.91</v>
      </c>
      <c r="AH30" s="121" t="s">
        <v>102</v>
      </c>
      <c r="AI30" s="69" t="s">
        <v>19</v>
      </c>
      <c r="AJ30" s="68" t="str">
        <f>VLOOKUP(UNG[[#This Row],[CURSO]],'[1]POS_EAD_0112 a 3101_CAMP. REG)'!$F$463:$G$688,2,FALSE)</f>
        <v>Saúde</v>
      </c>
      <c r="AK30" s="68">
        <f>VLOOKUP(UNG[[#This Row],[CURSO]],'[1]POS_EAD_0112 a 3101_CAMP. REG)'!$F$463:$H$688,3,FALSE)</f>
        <v>6</v>
      </c>
      <c r="AL30" s="68">
        <f>VLOOKUP(UNG[[#This Row],[CURSO]],'[1]POS_EAD_0112 a 3101_CAMP. REG)'!$F$463:$I$688,4,FALSE)</f>
        <v>13</v>
      </c>
      <c r="AM30" s="71">
        <f>VLOOKUP(UNG[[#This Row],[CURSO]],'[1]POS_EAD_0112 a 3101_CAMP. REG)'!$F$463:$J$688,5,FALSE)</f>
        <v>405.70905000000005</v>
      </c>
      <c r="AN30" s="124">
        <f>VLOOKUP(UNG[[#This Row],[CURSO]],'[1]POS_EAD_0112 a 3101_CAMP. REG)'!$F$463:$L$688,7,FALSE)</f>
        <v>0.45</v>
      </c>
      <c r="AO30" s="71">
        <f>VLOOKUP(UNG[[#This Row],[CURSO]],'[1]POS_EAD_0112 a 3101_CAMP. REG)'!$F$463:$M$688,8,FALSE)</f>
        <v>200.83</v>
      </c>
      <c r="AP30" s="124">
        <f>VLOOKUP(UNG[[#This Row],[CURSO]],'[1]POS_EAD_0112 a 3101_CAMP. REG)'!$F$463:$P$688,11,FALSE)</f>
        <v>0.5</v>
      </c>
      <c r="AQ30" s="71">
        <f>VLOOKUP(UNG[[#This Row],[CURSO]],'[1]POS_EAD_0112 a 3101_CAMP. REG)'!$F$463:$Q$688,12,FALSE)</f>
        <v>182.57</v>
      </c>
      <c r="AS30" s="121" t="s">
        <v>102</v>
      </c>
      <c r="AT30" s="69" t="s">
        <v>19</v>
      </c>
      <c r="AU30" s="69" t="str">
        <f>VLOOKUP(UNINASSAU[[#This Row],[CURSO]],'[1]POS_EAD_0112 a 3101_CAMP. REG)'!$F$690:$G$915,2,FALSE)</f>
        <v>Saúde</v>
      </c>
      <c r="AV30" s="69">
        <f>VLOOKUP(UNINASSAU[[#This Row],[CURSO]],'[1]POS_EAD_0112 a 3101_CAMP. REG)'!$F$690:$H$915,3,FALSE)</f>
        <v>6</v>
      </c>
      <c r="AW30" s="69">
        <f>VLOOKUP(UNINASSAU[[#This Row],[CURSO]],'[1]POS_EAD_0112 a 3101_CAMP. REG)'!$F$690:$I$915,4,FALSE)</f>
        <v>13</v>
      </c>
      <c r="AX30" s="73">
        <f>VLOOKUP(UNINASSAU[[#This Row],[CURSO]],'[1]POS_EAD_0112 a 3101_CAMP. REG)'!$F$690:$J$915,5,FALSE)</f>
        <v>405.70905000000005</v>
      </c>
      <c r="AY30" s="72">
        <f>VLOOKUP(UNINASSAU[[#This Row],[CURSO]],'[1]POS_EAD_0112 a 3101_CAMP. REG)'!$F$690:$L$915,7,FALSE)</f>
        <v>0.45</v>
      </c>
      <c r="AZ30" s="73">
        <f>VLOOKUP(UNINASSAU[[#This Row],[CURSO]],'[1]POS_EAD_0112 a 3101_CAMP. REG)'!$F$690:$N$915,8,FALSE)</f>
        <v>200.83</v>
      </c>
      <c r="BA30" s="72">
        <f>VLOOKUP(UNINASSAU[[#This Row],[CURSO]],'[1]POS_EAD_0112 a 3101_CAMP. REG)'!$F$690:$P$915,11,FALSE)</f>
        <v>0.5</v>
      </c>
      <c r="BB30" s="73">
        <f>VLOOKUP(UNINASSAU[[#This Row],[CURSO]],'[1]POS_EAD_0112 a 3101_CAMP. REG)'!$F$690:$Q$915,12,FALSE)</f>
        <v>182.57</v>
      </c>
      <c r="BD30" s="104">
        <v>27</v>
      </c>
      <c r="BE30" s="121" t="s">
        <v>102</v>
      </c>
      <c r="BF30" s="69" t="s">
        <v>19</v>
      </c>
    </row>
    <row r="31" spans="1:72" x14ac:dyDescent="0.25">
      <c r="L31" s="121" t="s">
        <v>138</v>
      </c>
      <c r="M31" s="69" t="s">
        <v>19</v>
      </c>
      <c r="N31" s="69" t="str">
        <f>VLOOKUP($L$4,'[1]POS_EAD_0112 a 3101_CAMP. REG)'!$F$5:$G$231,2,FALSE)</f>
        <v>Humanas</v>
      </c>
      <c r="O31" s="69">
        <f>VLOOKUP(L31,'[1]POS_EAD_0112 a 3101_CAMP. REG)'!$F$5:$H$231,3,FALSE)</f>
        <v>6</v>
      </c>
      <c r="P31" s="68">
        <f>VLOOKUP(L31,'[1]POS_EAD_0112 a 3101_CAMP. REG)'!$F$5:$I$231,4,FALSE)</f>
        <v>13</v>
      </c>
      <c r="Q31" s="73">
        <f>VLOOKUP(L31,'[1]POS_EAD_0112 a 3101_CAMP. REG)'!$F$5:$J$231,5,FALSE)</f>
        <v>269.33202599999998</v>
      </c>
      <c r="R31" s="124">
        <f>VLOOKUP(L31,'[1]POS_EAD_0112 a 3101_CAMP. REG)'!$F$5:$L$231,7,FALSE)</f>
        <v>0.45</v>
      </c>
      <c r="S31" s="73">
        <f>VLOOKUP(L31,'[1]POS_EAD_0112 a 3101_CAMP. REG)'!$F$5:$M$231,8,FALSE)</f>
        <v>133.32</v>
      </c>
      <c r="T31" s="124">
        <f>VLOOKUP(L31,'[1]POS_EAD_0112 a 3101_CAMP. REG)'!$F$5:$P$231,11,FALSE)</f>
        <v>0.5</v>
      </c>
      <c r="U31" s="73">
        <f>VLOOKUP(L31,'[1]POS_EAD_0112 a 3101_CAMP. REG)'!$F$5:$Q$231,12,FALSE)</f>
        <v>121.2</v>
      </c>
      <c r="W31" s="121" t="s">
        <v>138</v>
      </c>
      <c r="X31" s="69" t="s">
        <v>19</v>
      </c>
      <c r="Y31" s="69" t="str">
        <f>VLOOKUP(W31,'[1]POS_EAD_0112 a 3101_CAMP. REG)'!$F$231:$G$461,2,FALSE)</f>
        <v>Humanas</v>
      </c>
      <c r="Z31" s="68">
        <f>VLOOKUP(W31,'[1]POS_EAD_0112 a 3101_CAMP. REG)'!$F$231:$H$461,3,FALSE)</f>
        <v>6</v>
      </c>
      <c r="AA31" s="68">
        <f>VLOOKUP(W31,'[1]POS_EAD_0112 a 3101_CAMP. REG)'!$F$231:$I$461,4,FALSE)</f>
        <v>13</v>
      </c>
      <c r="AB31" s="73">
        <f>VLOOKUP(W31,'[1]POS_EAD_0112 a 3101_CAMP. REG)'!$F$231:$J$461,5,FALSE)</f>
        <v>303.42628200000001</v>
      </c>
      <c r="AC31" s="72">
        <f>VLOOKUP(W31,'[1]POS_EAD_0112 a 3101_CAMP. REG)'!$F$231:$L$461,7,FALSE)</f>
        <v>0.45</v>
      </c>
      <c r="AD31" s="73">
        <f>VLOOKUP(W31,'[1]POS_EAD_0112 a 3101_CAMP. REG)'!$F$231:$M$461,8,FALSE)</f>
        <v>150.19999999999999</v>
      </c>
      <c r="AE31" s="72">
        <f>VLOOKUP(W31,'[1]POS_EAD_0112 a 3101_CAMP. REG)'!$F$231:$P$461,11,FALSE)</f>
        <v>0.5</v>
      </c>
      <c r="AF31" s="73">
        <f>VLOOKUP(W31,'[1]POS_EAD_0112 a 3101_CAMP. REG)'!$F$231:$Q$461,12,FALSE)</f>
        <v>136.54</v>
      </c>
      <c r="AH31" s="121" t="s">
        <v>138</v>
      </c>
      <c r="AI31" s="69" t="s">
        <v>19</v>
      </c>
      <c r="AJ31" s="68" t="str">
        <f>VLOOKUP(UNG[[#This Row],[CURSO]],'[1]POS_EAD_0112 a 3101_CAMP. REG)'!$F$463:$G$688,2,FALSE)</f>
        <v>Humanas</v>
      </c>
      <c r="AK31" s="68">
        <f>VLOOKUP(UNG[[#This Row],[CURSO]],'[1]POS_EAD_0112 a 3101_CAMP. REG)'!$F$463:$H$688,3,FALSE)</f>
        <v>6</v>
      </c>
      <c r="AL31" s="68">
        <f>VLOOKUP(UNG[[#This Row],[CURSO]],'[1]POS_EAD_0112 a 3101_CAMP. REG)'!$F$463:$I$688,4,FALSE)</f>
        <v>13</v>
      </c>
      <c r="AM31" s="71">
        <f>VLOOKUP(UNG[[#This Row],[CURSO]],'[1]POS_EAD_0112 a 3101_CAMP. REG)'!$F$463:$J$688,5,FALSE)</f>
        <v>269.33202599999998</v>
      </c>
      <c r="AN31" s="124">
        <f>VLOOKUP(UNG[[#This Row],[CURSO]],'[1]POS_EAD_0112 a 3101_CAMP. REG)'!$F$463:$L$688,7,FALSE)</f>
        <v>0.45</v>
      </c>
      <c r="AO31" s="71">
        <f>VLOOKUP(UNG[[#This Row],[CURSO]],'[1]POS_EAD_0112 a 3101_CAMP. REG)'!$F$463:$M$688,8,FALSE)</f>
        <v>133.32</v>
      </c>
      <c r="AP31" s="124">
        <f>VLOOKUP(UNG[[#This Row],[CURSO]],'[1]POS_EAD_0112 a 3101_CAMP. REG)'!$F$463:$P$688,11,FALSE)</f>
        <v>0.5</v>
      </c>
      <c r="AQ31" s="71">
        <f>VLOOKUP(UNG[[#This Row],[CURSO]],'[1]POS_EAD_0112 a 3101_CAMP. REG)'!$F$463:$Q$688,12,FALSE)</f>
        <v>121.2</v>
      </c>
      <c r="AS31" s="121" t="s">
        <v>138</v>
      </c>
      <c r="AT31" s="69" t="s">
        <v>19</v>
      </c>
      <c r="AU31" s="69" t="str">
        <f>VLOOKUP(UNINASSAU[[#This Row],[CURSO]],'[1]POS_EAD_0112 a 3101_CAMP. REG)'!$F$690:$G$915,2,FALSE)</f>
        <v>Humanas</v>
      </c>
      <c r="AV31" s="69">
        <f>VLOOKUP(UNINASSAU[[#This Row],[CURSO]],'[1]POS_EAD_0112 a 3101_CAMP. REG)'!$F$690:$H$915,3,FALSE)</f>
        <v>6</v>
      </c>
      <c r="AW31" s="69">
        <f>VLOOKUP(UNINASSAU[[#This Row],[CURSO]],'[1]POS_EAD_0112 a 3101_CAMP. REG)'!$F$690:$I$915,4,FALSE)</f>
        <v>13</v>
      </c>
      <c r="AX31" s="73">
        <f>VLOOKUP(UNINASSAU[[#This Row],[CURSO]],'[1]POS_EAD_0112 a 3101_CAMP. REG)'!$F$690:$J$915,5,FALSE)</f>
        <v>269.33202599999998</v>
      </c>
      <c r="AY31" s="72">
        <f>VLOOKUP(UNINASSAU[[#This Row],[CURSO]],'[1]POS_EAD_0112 a 3101_CAMP. REG)'!$F$690:$L$915,7,FALSE)</f>
        <v>0.45</v>
      </c>
      <c r="AZ31" s="73">
        <f>VLOOKUP(UNINASSAU[[#This Row],[CURSO]],'[1]POS_EAD_0112 a 3101_CAMP. REG)'!$F$690:$N$915,8,FALSE)</f>
        <v>133.32</v>
      </c>
      <c r="BA31" s="72">
        <f>VLOOKUP(UNINASSAU[[#This Row],[CURSO]],'[1]POS_EAD_0112 a 3101_CAMP. REG)'!$F$690:$P$915,11,FALSE)</f>
        <v>0.5</v>
      </c>
      <c r="BB31" s="73">
        <f>VLOOKUP(UNINASSAU[[#This Row],[CURSO]],'[1]POS_EAD_0112 a 3101_CAMP. REG)'!$F$690:$Q$915,12,FALSE)</f>
        <v>121.2</v>
      </c>
      <c r="BD31" s="104">
        <v>28</v>
      </c>
      <c r="BE31" s="121" t="s">
        <v>138</v>
      </c>
      <c r="BF31" s="69" t="s">
        <v>19</v>
      </c>
    </row>
    <row r="32" spans="1:72" x14ac:dyDescent="0.25">
      <c r="L32" s="121" t="s">
        <v>56</v>
      </c>
      <c r="M32" s="69" t="s">
        <v>19</v>
      </c>
      <c r="N32" s="69" t="str">
        <f>VLOOKUP($L$4,'[1]POS_EAD_0112 a 3101_CAMP. REG)'!$F$5:$G$231,2,FALSE)</f>
        <v>Humanas</v>
      </c>
      <c r="O32" s="69">
        <f>VLOOKUP(L32,'[1]POS_EAD_0112 a 3101_CAMP. REG)'!$F$5:$H$231,3,FALSE)</f>
        <v>12</v>
      </c>
      <c r="P32" s="68">
        <f>VLOOKUP(L32,'[1]POS_EAD_0112 a 3101_CAMP. REG)'!$F$5:$I$231,4,FALSE)</f>
        <v>19</v>
      </c>
      <c r="Q32" s="73">
        <f>VLOOKUP(L32,'[1]POS_EAD_0112 a 3101_CAMP. REG)'!$F$5:$J$231,5,FALSE)</f>
        <v>184.28091221052631</v>
      </c>
      <c r="R32" s="124">
        <f>VLOOKUP(L32,'[1]POS_EAD_0112 a 3101_CAMP. REG)'!$F$5:$L$231,7,FALSE)</f>
        <v>0.45</v>
      </c>
      <c r="S32" s="73">
        <f>VLOOKUP(L32,'[1]POS_EAD_0112 a 3101_CAMP. REG)'!$F$5:$M$231,8,FALSE)</f>
        <v>91.22</v>
      </c>
      <c r="T32" s="124">
        <f>VLOOKUP(L32,'[1]POS_EAD_0112 a 3101_CAMP. REG)'!$F$5:$P$231,11,FALSE)</f>
        <v>0.5</v>
      </c>
      <c r="U32" s="73">
        <f>VLOOKUP(L32,'[1]POS_EAD_0112 a 3101_CAMP. REG)'!$F$5:$Q$231,12,FALSE)</f>
        <v>82.93</v>
      </c>
      <c r="W32" s="121" t="s">
        <v>56</v>
      </c>
      <c r="X32" s="69" t="s">
        <v>19</v>
      </c>
      <c r="Y32" s="69" t="str">
        <f>VLOOKUP(W32,'[1]POS_EAD_0112 a 3101_CAMP. REG)'!$F$231:$G$461,2,FALSE)</f>
        <v>Exatas</v>
      </c>
      <c r="Z32" s="68">
        <f>VLOOKUP(W32,'[1]POS_EAD_0112 a 3101_CAMP. REG)'!$F$231:$H$461,3,FALSE)</f>
        <v>12</v>
      </c>
      <c r="AA32" s="68">
        <f>VLOOKUP(W32,'[1]POS_EAD_0112 a 3101_CAMP. REG)'!$F$231:$I$461,4,FALSE)</f>
        <v>19</v>
      </c>
      <c r="AB32" s="73">
        <f>VLOOKUP(W32,'[1]POS_EAD_0112 a 3101_CAMP. REG)'!$F$231:$J$461,5,FALSE)</f>
        <v>207.609666</v>
      </c>
      <c r="AC32" s="72">
        <f>VLOOKUP(W32,'[1]POS_EAD_0112 a 3101_CAMP. REG)'!$F$231:$L$461,7,FALSE)</f>
        <v>0.45</v>
      </c>
      <c r="AD32" s="73">
        <f>VLOOKUP(W32,'[1]POS_EAD_0112 a 3101_CAMP. REG)'!$F$231:$M$461,8,FALSE)</f>
        <v>102.77</v>
      </c>
      <c r="AE32" s="72">
        <f>VLOOKUP(W32,'[1]POS_EAD_0112 a 3101_CAMP. REG)'!$F$231:$P$461,11,FALSE)</f>
        <v>0.5</v>
      </c>
      <c r="AF32" s="73">
        <f>VLOOKUP(W32,'[1]POS_EAD_0112 a 3101_CAMP. REG)'!$F$231:$Q$461,12,FALSE)</f>
        <v>93.42</v>
      </c>
      <c r="AH32" s="121" t="s">
        <v>56</v>
      </c>
      <c r="AI32" s="69" t="s">
        <v>19</v>
      </c>
      <c r="AJ32" s="68" t="str">
        <f>VLOOKUP(UNG[[#This Row],[CURSO]],'[1]POS_EAD_0112 a 3101_CAMP. REG)'!$F$463:$G$688,2,FALSE)</f>
        <v>Exatas</v>
      </c>
      <c r="AK32" s="68">
        <f>VLOOKUP(UNG[[#This Row],[CURSO]],'[1]POS_EAD_0112 a 3101_CAMP. REG)'!$F$463:$H$688,3,FALSE)</f>
        <v>12</v>
      </c>
      <c r="AL32" s="68">
        <f>VLOOKUP(UNG[[#This Row],[CURSO]],'[1]POS_EAD_0112 a 3101_CAMP. REG)'!$F$463:$I$688,4,FALSE)</f>
        <v>19</v>
      </c>
      <c r="AM32" s="71">
        <f>VLOOKUP(UNG[[#This Row],[CURSO]],'[1]POS_EAD_0112 a 3101_CAMP. REG)'!$F$463:$J$688,5,FALSE)</f>
        <v>184.28091221052631</v>
      </c>
      <c r="AN32" s="124">
        <f>VLOOKUP(UNG[[#This Row],[CURSO]],'[1]POS_EAD_0112 a 3101_CAMP. REG)'!$F$463:$L$688,7,FALSE)</f>
        <v>0.45</v>
      </c>
      <c r="AO32" s="71">
        <f>VLOOKUP(UNG[[#This Row],[CURSO]],'[1]POS_EAD_0112 a 3101_CAMP. REG)'!$F$463:$M$688,8,FALSE)</f>
        <v>91.22</v>
      </c>
      <c r="AP32" s="124">
        <f>VLOOKUP(UNG[[#This Row],[CURSO]],'[1]POS_EAD_0112 a 3101_CAMP. REG)'!$F$463:$P$688,11,FALSE)</f>
        <v>0.5</v>
      </c>
      <c r="AQ32" s="71">
        <f>VLOOKUP(UNG[[#This Row],[CURSO]],'[1]POS_EAD_0112 a 3101_CAMP. REG)'!$F$463:$Q$688,12,FALSE)</f>
        <v>82.93</v>
      </c>
      <c r="AS32" s="121" t="s">
        <v>56</v>
      </c>
      <c r="AT32" s="69" t="s">
        <v>19</v>
      </c>
      <c r="AU32" s="69" t="str">
        <f>VLOOKUP(UNINASSAU[[#This Row],[CURSO]],'[1]POS_EAD_0112 a 3101_CAMP. REG)'!$F$690:$G$915,2,FALSE)</f>
        <v>Exatas</v>
      </c>
      <c r="AV32" s="69">
        <f>VLOOKUP(UNINASSAU[[#This Row],[CURSO]],'[1]POS_EAD_0112 a 3101_CAMP. REG)'!$F$690:$H$915,3,FALSE)</f>
        <v>12</v>
      </c>
      <c r="AW32" s="69">
        <f>VLOOKUP(UNINASSAU[[#This Row],[CURSO]],'[1]POS_EAD_0112 a 3101_CAMP. REG)'!$F$690:$I$915,4,FALSE)</f>
        <v>19</v>
      </c>
      <c r="AX32" s="73">
        <f>VLOOKUP(UNINASSAU[[#This Row],[CURSO]],'[1]POS_EAD_0112 a 3101_CAMP. REG)'!$F$690:$J$915,5,FALSE)</f>
        <v>184.28091221052631</v>
      </c>
      <c r="AY32" s="72">
        <f>VLOOKUP(UNINASSAU[[#This Row],[CURSO]],'[1]POS_EAD_0112 a 3101_CAMP. REG)'!$F$690:$L$915,7,FALSE)</f>
        <v>0.45</v>
      </c>
      <c r="AZ32" s="73">
        <f>VLOOKUP(UNINASSAU[[#This Row],[CURSO]],'[1]POS_EAD_0112 a 3101_CAMP. REG)'!$F$690:$N$915,8,FALSE)</f>
        <v>91.22</v>
      </c>
      <c r="BA32" s="72">
        <f>VLOOKUP(UNINASSAU[[#This Row],[CURSO]],'[1]POS_EAD_0112 a 3101_CAMP. REG)'!$F$690:$P$915,11,FALSE)</f>
        <v>0.5</v>
      </c>
      <c r="BB32" s="73">
        <f>VLOOKUP(UNINASSAU[[#This Row],[CURSO]],'[1]POS_EAD_0112 a 3101_CAMP. REG)'!$F$690:$Q$915,12,FALSE)</f>
        <v>82.93</v>
      </c>
      <c r="BD32" s="104">
        <v>29</v>
      </c>
      <c r="BE32" s="121" t="s">
        <v>56</v>
      </c>
      <c r="BF32" s="69" t="s">
        <v>19</v>
      </c>
    </row>
    <row r="33" spans="12:58" x14ac:dyDescent="0.25">
      <c r="L33" s="121" t="s">
        <v>159</v>
      </c>
      <c r="M33" s="69" t="s">
        <v>19</v>
      </c>
      <c r="N33" s="69" t="str">
        <f>VLOOKUP($L$4,'[1]POS_EAD_0112 a 3101_CAMP. REG)'!$F$5:$G$231,2,FALSE)</f>
        <v>Humanas</v>
      </c>
      <c r="O33" s="69">
        <f>VLOOKUP(L33,'[1]POS_EAD_0112 a 3101_CAMP. REG)'!$F$5:$H$231,3,FALSE)</f>
        <v>12</v>
      </c>
      <c r="P33" s="68">
        <f>VLOOKUP(L33,'[1]POS_EAD_0112 a 3101_CAMP. REG)'!$F$5:$I$231,4,FALSE)</f>
        <v>19</v>
      </c>
      <c r="Q33" s="73">
        <f>VLOOKUP(L33,'[1]POS_EAD_0112 a 3101_CAMP. REG)'!$F$5:$J$231,5,FALSE)</f>
        <v>277.58266800000001</v>
      </c>
      <c r="R33" s="124">
        <f>VLOOKUP(L33,'[1]POS_EAD_0112 a 3101_CAMP. REG)'!$F$5:$L$231,7,FALSE)</f>
        <v>0.45</v>
      </c>
      <c r="S33" s="73">
        <f>VLOOKUP(L33,'[1]POS_EAD_0112 a 3101_CAMP. REG)'!$F$5:$M$231,8,FALSE)</f>
        <v>137.4</v>
      </c>
      <c r="T33" s="124">
        <f>VLOOKUP(L33,'[1]POS_EAD_0112 a 3101_CAMP. REG)'!$F$5:$P$231,11,FALSE)</f>
        <v>0.5</v>
      </c>
      <c r="U33" s="73">
        <f>VLOOKUP(L33,'[1]POS_EAD_0112 a 3101_CAMP. REG)'!$F$5:$Q$231,12,FALSE)</f>
        <v>124.91</v>
      </c>
      <c r="W33" s="121" t="s">
        <v>159</v>
      </c>
      <c r="X33" s="69" t="s">
        <v>19</v>
      </c>
      <c r="Y33" s="69" t="str">
        <f>VLOOKUP(W33,'[1]POS_EAD_0112 a 3101_CAMP. REG)'!$F$231:$G$461,2,FALSE)</f>
        <v>Saúde</v>
      </c>
      <c r="Z33" s="68">
        <f>VLOOKUP(W33,'[1]POS_EAD_0112 a 3101_CAMP. REG)'!$F$231:$H$461,3,FALSE)</f>
        <v>12</v>
      </c>
      <c r="AA33" s="68">
        <f>VLOOKUP(W33,'[1]POS_EAD_0112 a 3101_CAMP. REG)'!$F$231:$I$461,4,FALSE)</f>
        <v>19</v>
      </c>
      <c r="AB33" s="73">
        <f>VLOOKUP(W33,'[1]POS_EAD_0112 a 3101_CAMP. REG)'!$F$231:$J$461,5,FALSE)</f>
        <v>300.91749900000002</v>
      </c>
      <c r="AC33" s="72">
        <f>VLOOKUP(W33,'[1]POS_EAD_0112 a 3101_CAMP. REG)'!$F$231:$L$461,7,FALSE)</f>
        <v>0.45</v>
      </c>
      <c r="AD33" s="73">
        <f>VLOOKUP(W33,'[1]POS_EAD_0112 a 3101_CAMP. REG)'!$F$231:$M$461,8,FALSE)</f>
        <v>148.94999999999999</v>
      </c>
      <c r="AE33" s="72">
        <f>VLOOKUP(W33,'[1]POS_EAD_0112 a 3101_CAMP. REG)'!$F$231:$P$461,11,FALSE)</f>
        <v>0.5</v>
      </c>
      <c r="AF33" s="73">
        <f>VLOOKUP(W33,'[1]POS_EAD_0112 a 3101_CAMP. REG)'!$F$231:$Q$461,12,FALSE)</f>
        <v>135.41</v>
      </c>
      <c r="AH33" s="121" t="s">
        <v>159</v>
      </c>
      <c r="AI33" s="69" t="s">
        <v>19</v>
      </c>
      <c r="AJ33" s="68" t="str">
        <f>VLOOKUP(UNG[[#This Row],[CURSO]],'[1]POS_EAD_0112 a 3101_CAMP. REG)'!$F$463:$G$688,2,FALSE)</f>
        <v>Saúde</v>
      </c>
      <c r="AK33" s="68">
        <f>VLOOKUP(UNG[[#This Row],[CURSO]],'[1]POS_EAD_0112 a 3101_CAMP. REG)'!$F$463:$H$688,3,FALSE)</f>
        <v>12</v>
      </c>
      <c r="AL33" s="68">
        <f>VLOOKUP(UNG[[#This Row],[CURSO]],'[1]POS_EAD_0112 a 3101_CAMP. REG)'!$F$463:$I$688,4,FALSE)</f>
        <v>19</v>
      </c>
      <c r="AM33" s="71">
        <f>VLOOKUP(UNG[[#This Row],[CURSO]],'[1]POS_EAD_0112 a 3101_CAMP. REG)'!$F$463:$J$688,5,FALSE)</f>
        <v>277.58266800000001</v>
      </c>
      <c r="AN33" s="124">
        <f>VLOOKUP(UNG[[#This Row],[CURSO]],'[1]POS_EAD_0112 a 3101_CAMP. REG)'!$F$463:$L$688,7,FALSE)</f>
        <v>0.45</v>
      </c>
      <c r="AO33" s="71">
        <f>VLOOKUP(UNG[[#This Row],[CURSO]],'[1]POS_EAD_0112 a 3101_CAMP. REG)'!$F$463:$M$688,8,FALSE)</f>
        <v>137.4</v>
      </c>
      <c r="AP33" s="124">
        <f>VLOOKUP(UNG[[#This Row],[CURSO]],'[1]POS_EAD_0112 a 3101_CAMP. REG)'!$F$463:$P$688,11,FALSE)</f>
        <v>0.5</v>
      </c>
      <c r="AQ33" s="71">
        <f>VLOOKUP(UNG[[#This Row],[CURSO]],'[1]POS_EAD_0112 a 3101_CAMP. REG)'!$F$463:$Q$688,12,FALSE)</f>
        <v>124.91</v>
      </c>
      <c r="AS33" s="121" t="s">
        <v>159</v>
      </c>
      <c r="AT33" s="69" t="s">
        <v>19</v>
      </c>
      <c r="AU33" s="69" t="str">
        <f>VLOOKUP(UNINASSAU[[#This Row],[CURSO]],'[1]POS_EAD_0112 a 3101_CAMP. REG)'!$F$690:$G$915,2,FALSE)</f>
        <v>Saúde</v>
      </c>
      <c r="AV33" s="69">
        <f>VLOOKUP(UNINASSAU[[#This Row],[CURSO]],'[1]POS_EAD_0112 a 3101_CAMP. REG)'!$F$690:$H$915,3,FALSE)</f>
        <v>12</v>
      </c>
      <c r="AW33" s="69">
        <f>VLOOKUP(UNINASSAU[[#This Row],[CURSO]],'[1]POS_EAD_0112 a 3101_CAMP. REG)'!$F$690:$I$915,4,FALSE)</f>
        <v>19</v>
      </c>
      <c r="AX33" s="73">
        <f>VLOOKUP(UNINASSAU[[#This Row],[CURSO]],'[1]POS_EAD_0112 a 3101_CAMP. REG)'!$F$690:$J$915,5,FALSE)</f>
        <v>277.58266800000001</v>
      </c>
      <c r="AY33" s="72">
        <f>VLOOKUP(UNINASSAU[[#This Row],[CURSO]],'[1]POS_EAD_0112 a 3101_CAMP. REG)'!$F$690:$L$915,7,FALSE)</f>
        <v>0.45</v>
      </c>
      <c r="AZ33" s="73">
        <f>VLOOKUP(UNINASSAU[[#This Row],[CURSO]],'[1]POS_EAD_0112 a 3101_CAMP. REG)'!$F$690:$N$915,8,FALSE)</f>
        <v>137.4</v>
      </c>
      <c r="BA33" s="72">
        <f>VLOOKUP(UNINASSAU[[#This Row],[CURSO]],'[1]POS_EAD_0112 a 3101_CAMP. REG)'!$F$690:$P$915,11,FALSE)</f>
        <v>0.5</v>
      </c>
      <c r="BB33" s="73">
        <f>VLOOKUP(UNINASSAU[[#This Row],[CURSO]],'[1]POS_EAD_0112 a 3101_CAMP. REG)'!$F$690:$Q$915,12,FALSE)</f>
        <v>124.91</v>
      </c>
      <c r="BD33" s="104">
        <v>30</v>
      </c>
      <c r="BE33" s="121" t="s">
        <v>159</v>
      </c>
      <c r="BF33" s="69" t="s">
        <v>19</v>
      </c>
    </row>
    <row r="34" spans="12:58" x14ac:dyDescent="0.25">
      <c r="L34" s="121" t="s">
        <v>168</v>
      </c>
      <c r="M34" s="69" t="s">
        <v>19</v>
      </c>
      <c r="N34" s="69" t="str">
        <f>VLOOKUP($L$4,'[1]POS_EAD_0112 a 3101_CAMP. REG)'!$F$5:$G$231,2,FALSE)</f>
        <v>Humanas</v>
      </c>
      <c r="O34" s="69">
        <f>VLOOKUP(L34,'[1]POS_EAD_0112 a 3101_CAMP. REG)'!$F$5:$H$231,3,FALSE)</f>
        <v>6</v>
      </c>
      <c r="P34" s="68">
        <f>VLOOKUP(L34,'[1]POS_EAD_0112 a 3101_CAMP. REG)'!$F$5:$I$231,4,FALSE)</f>
        <v>13</v>
      </c>
      <c r="Q34" s="73">
        <f>VLOOKUP(L34,'[1]POS_EAD_0112 a 3101_CAMP. REG)'!$F$5:$J$231,5,FALSE)</f>
        <v>269.33202599999998</v>
      </c>
      <c r="R34" s="124">
        <f>VLOOKUP(L34,'[1]POS_EAD_0112 a 3101_CAMP. REG)'!$F$5:$L$231,7,FALSE)</f>
        <v>0.45</v>
      </c>
      <c r="S34" s="73">
        <f>VLOOKUP(L34,'[1]POS_EAD_0112 a 3101_CAMP. REG)'!$F$5:$M$231,8,FALSE)</f>
        <v>133.32</v>
      </c>
      <c r="T34" s="124">
        <f>VLOOKUP(L34,'[1]POS_EAD_0112 a 3101_CAMP. REG)'!$F$5:$P$231,11,FALSE)</f>
        <v>0.5</v>
      </c>
      <c r="U34" s="73">
        <f>VLOOKUP(L34,'[1]POS_EAD_0112 a 3101_CAMP. REG)'!$F$5:$Q$231,12,FALSE)</f>
        <v>121.2</v>
      </c>
      <c r="W34" s="121" t="s">
        <v>168</v>
      </c>
      <c r="X34" s="69" t="s">
        <v>19</v>
      </c>
      <c r="Y34" s="69" t="str">
        <f>VLOOKUP(W34,'[1]POS_EAD_0112 a 3101_CAMP. REG)'!$F$231:$G$461,2,FALSE)</f>
        <v>Humanas</v>
      </c>
      <c r="Z34" s="68">
        <f>VLOOKUP(W34,'[1]POS_EAD_0112 a 3101_CAMP. REG)'!$F$231:$H$461,3,FALSE)</f>
        <v>6</v>
      </c>
      <c r="AA34" s="68">
        <f>VLOOKUP(W34,'[1]POS_EAD_0112 a 3101_CAMP. REG)'!$F$231:$I$461,4,FALSE)</f>
        <v>13</v>
      </c>
      <c r="AB34" s="73">
        <f>VLOOKUP(W34,'[1]POS_EAD_0112 a 3101_CAMP. REG)'!$F$231:$J$461,5,FALSE)</f>
        <v>303.42628200000001</v>
      </c>
      <c r="AC34" s="72">
        <f>VLOOKUP(W34,'[1]POS_EAD_0112 a 3101_CAMP. REG)'!$F$231:$L$461,7,FALSE)</f>
        <v>0.45</v>
      </c>
      <c r="AD34" s="73">
        <f>VLOOKUP(W34,'[1]POS_EAD_0112 a 3101_CAMP. REG)'!$F$231:$M$461,8,FALSE)</f>
        <v>150.19999999999999</v>
      </c>
      <c r="AE34" s="72">
        <f>VLOOKUP(W34,'[1]POS_EAD_0112 a 3101_CAMP. REG)'!$F$231:$P$461,11,FALSE)</f>
        <v>0.5</v>
      </c>
      <c r="AF34" s="73">
        <f>VLOOKUP(W34,'[1]POS_EAD_0112 a 3101_CAMP. REG)'!$F$231:$Q$461,12,FALSE)</f>
        <v>136.54</v>
      </c>
      <c r="AH34" s="121" t="s">
        <v>168</v>
      </c>
      <c r="AI34" s="69" t="s">
        <v>19</v>
      </c>
      <c r="AJ34" s="68" t="str">
        <f>VLOOKUP(UNG[[#This Row],[CURSO]],'[1]POS_EAD_0112 a 3101_CAMP. REG)'!$F$463:$G$688,2,FALSE)</f>
        <v>Humanas</v>
      </c>
      <c r="AK34" s="68">
        <f>VLOOKUP(UNG[[#This Row],[CURSO]],'[1]POS_EAD_0112 a 3101_CAMP. REG)'!$F$463:$H$688,3,FALSE)</f>
        <v>6</v>
      </c>
      <c r="AL34" s="68">
        <f>VLOOKUP(UNG[[#This Row],[CURSO]],'[1]POS_EAD_0112 a 3101_CAMP. REG)'!$F$463:$I$688,4,FALSE)</f>
        <v>13</v>
      </c>
      <c r="AM34" s="71">
        <f>VLOOKUP(UNG[[#This Row],[CURSO]],'[1]POS_EAD_0112 a 3101_CAMP. REG)'!$F$463:$J$688,5,FALSE)</f>
        <v>269.33202599999998</v>
      </c>
      <c r="AN34" s="124">
        <f>VLOOKUP(UNG[[#This Row],[CURSO]],'[1]POS_EAD_0112 a 3101_CAMP. REG)'!$F$463:$L$688,7,FALSE)</f>
        <v>0.45</v>
      </c>
      <c r="AO34" s="71">
        <f>VLOOKUP(UNG[[#This Row],[CURSO]],'[1]POS_EAD_0112 a 3101_CAMP. REG)'!$F$463:$M$688,8,FALSE)</f>
        <v>133.32</v>
      </c>
      <c r="AP34" s="124">
        <f>VLOOKUP(UNG[[#This Row],[CURSO]],'[1]POS_EAD_0112 a 3101_CAMP. REG)'!$F$463:$P$688,11,FALSE)</f>
        <v>0.5</v>
      </c>
      <c r="AQ34" s="71">
        <f>VLOOKUP(UNG[[#This Row],[CURSO]],'[1]POS_EAD_0112 a 3101_CAMP. REG)'!$F$463:$Q$688,12,FALSE)</f>
        <v>121.2</v>
      </c>
      <c r="AS34" s="121" t="s">
        <v>168</v>
      </c>
      <c r="AT34" s="69" t="s">
        <v>19</v>
      </c>
      <c r="AU34" s="69" t="str">
        <f>VLOOKUP(UNINASSAU[[#This Row],[CURSO]],'[1]POS_EAD_0112 a 3101_CAMP. REG)'!$F$690:$G$915,2,FALSE)</f>
        <v>Humanas</v>
      </c>
      <c r="AV34" s="69">
        <f>VLOOKUP(UNINASSAU[[#This Row],[CURSO]],'[1]POS_EAD_0112 a 3101_CAMP. REG)'!$F$690:$H$915,3,FALSE)</f>
        <v>6</v>
      </c>
      <c r="AW34" s="69">
        <f>VLOOKUP(UNINASSAU[[#This Row],[CURSO]],'[1]POS_EAD_0112 a 3101_CAMP. REG)'!$F$690:$I$915,4,FALSE)</f>
        <v>13</v>
      </c>
      <c r="AX34" s="73">
        <f>VLOOKUP(UNINASSAU[[#This Row],[CURSO]],'[1]POS_EAD_0112 a 3101_CAMP. REG)'!$F$690:$J$915,5,FALSE)</f>
        <v>269.33202599999998</v>
      </c>
      <c r="AY34" s="72">
        <f>VLOOKUP(UNINASSAU[[#This Row],[CURSO]],'[1]POS_EAD_0112 a 3101_CAMP. REG)'!$F$690:$L$915,7,FALSE)</f>
        <v>0.45</v>
      </c>
      <c r="AZ34" s="73">
        <f>VLOOKUP(UNINASSAU[[#This Row],[CURSO]],'[1]POS_EAD_0112 a 3101_CAMP. REG)'!$F$690:$N$915,8,FALSE)</f>
        <v>133.32</v>
      </c>
      <c r="BA34" s="72">
        <f>VLOOKUP(UNINASSAU[[#This Row],[CURSO]],'[1]POS_EAD_0112 a 3101_CAMP. REG)'!$F$690:$P$915,11,FALSE)</f>
        <v>0.5</v>
      </c>
      <c r="BB34" s="73">
        <f>VLOOKUP(UNINASSAU[[#This Row],[CURSO]],'[1]POS_EAD_0112 a 3101_CAMP. REG)'!$F$690:$Q$915,12,FALSE)</f>
        <v>121.2</v>
      </c>
      <c r="BD34" s="104">
        <v>31</v>
      </c>
      <c r="BE34" s="121" t="s">
        <v>168</v>
      </c>
      <c r="BF34" s="69" t="s">
        <v>19</v>
      </c>
    </row>
    <row r="35" spans="12:58" x14ac:dyDescent="0.25">
      <c r="L35" s="121" t="s">
        <v>114</v>
      </c>
      <c r="M35" s="69" t="s">
        <v>19</v>
      </c>
      <c r="N35" s="69" t="str">
        <f>VLOOKUP($L$4,'[1]POS_EAD_0112 a 3101_CAMP. REG)'!$F$5:$G$231,2,FALSE)</f>
        <v>Humanas</v>
      </c>
      <c r="O35" s="69">
        <f>VLOOKUP(L35,'[1]POS_EAD_0112 a 3101_CAMP. REG)'!$F$5:$H$231,3,FALSE)</f>
        <v>6</v>
      </c>
      <c r="P35" s="68">
        <f>VLOOKUP(L35,'[1]POS_EAD_0112 a 3101_CAMP. REG)'!$F$5:$I$231,4,FALSE)</f>
        <v>13</v>
      </c>
      <c r="Q35" s="73">
        <f>VLOOKUP(L35,'[1]POS_EAD_0112 a 3101_CAMP. REG)'!$F$5:$J$231,5,FALSE)</f>
        <v>269.33202599999998</v>
      </c>
      <c r="R35" s="124">
        <f>VLOOKUP(L35,'[1]POS_EAD_0112 a 3101_CAMP. REG)'!$F$5:$L$231,7,FALSE)</f>
        <v>0.45</v>
      </c>
      <c r="S35" s="73">
        <f>VLOOKUP(L35,'[1]POS_EAD_0112 a 3101_CAMP. REG)'!$F$5:$M$231,8,FALSE)</f>
        <v>133.32</v>
      </c>
      <c r="T35" s="124">
        <f>VLOOKUP(L35,'[1]POS_EAD_0112 a 3101_CAMP. REG)'!$F$5:$P$231,11,FALSE)</f>
        <v>0.5</v>
      </c>
      <c r="U35" s="73">
        <f>VLOOKUP(L35,'[1]POS_EAD_0112 a 3101_CAMP. REG)'!$F$5:$Q$231,12,FALSE)</f>
        <v>121.2</v>
      </c>
      <c r="W35" s="121" t="s">
        <v>114</v>
      </c>
      <c r="X35" s="69" t="s">
        <v>19</v>
      </c>
      <c r="Y35" s="69" t="str">
        <f>VLOOKUP(W35,'[1]POS_EAD_0112 a 3101_CAMP. REG)'!$F$231:$G$461,2,FALSE)</f>
        <v>Humanas</v>
      </c>
      <c r="Z35" s="68">
        <f>VLOOKUP(W35,'[1]POS_EAD_0112 a 3101_CAMP. REG)'!$F$231:$H$461,3,FALSE)</f>
        <v>6</v>
      </c>
      <c r="AA35" s="68">
        <f>VLOOKUP(W35,'[1]POS_EAD_0112 a 3101_CAMP. REG)'!$F$231:$I$461,4,FALSE)</f>
        <v>13</v>
      </c>
      <c r="AB35" s="73">
        <f>VLOOKUP(W35,'[1]POS_EAD_0112 a 3101_CAMP. REG)'!$F$231:$J$461,5,FALSE)</f>
        <v>303.42628200000001</v>
      </c>
      <c r="AC35" s="72">
        <f>VLOOKUP(W35,'[1]POS_EAD_0112 a 3101_CAMP. REG)'!$F$231:$L$461,7,FALSE)</f>
        <v>0.45</v>
      </c>
      <c r="AD35" s="73">
        <f>VLOOKUP(W35,'[1]POS_EAD_0112 a 3101_CAMP. REG)'!$F$231:$M$461,8,FALSE)</f>
        <v>150.19999999999999</v>
      </c>
      <c r="AE35" s="72">
        <f>VLOOKUP(W35,'[1]POS_EAD_0112 a 3101_CAMP. REG)'!$F$231:$P$461,11,FALSE)</f>
        <v>0.5</v>
      </c>
      <c r="AF35" s="73">
        <f>VLOOKUP(W35,'[1]POS_EAD_0112 a 3101_CAMP. REG)'!$F$231:$Q$461,12,FALSE)</f>
        <v>136.54</v>
      </c>
      <c r="AH35" s="121" t="s">
        <v>114</v>
      </c>
      <c r="AI35" s="69" t="s">
        <v>19</v>
      </c>
      <c r="AJ35" s="68" t="str">
        <f>VLOOKUP(UNG[[#This Row],[CURSO]],'[1]POS_EAD_0112 a 3101_CAMP. REG)'!$F$463:$G$688,2,FALSE)</f>
        <v>Humanas</v>
      </c>
      <c r="AK35" s="68">
        <f>VLOOKUP(UNG[[#This Row],[CURSO]],'[1]POS_EAD_0112 a 3101_CAMP. REG)'!$F$463:$H$688,3,FALSE)</f>
        <v>6</v>
      </c>
      <c r="AL35" s="68">
        <f>VLOOKUP(UNG[[#This Row],[CURSO]],'[1]POS_EAD_0112 a 3101_CAMP. REG)'!$F$463:$I$688,4,FALSE)</f>
        <v>13</v>
      </c>
      <c r="AM35" s="71">
        <f>VLOOKUP(UNG[[#This Row],[CURSO]],'[1]POS_EAD_0112 a 3101_CAMP. REG)'!$F$463:$J$688,5,FALSE)</f>
        <v>269.33202599999998</v>
      </c>
      <c r="AN35" s="124">
        <f>VLOOKUP(UNG[[#This Row],[CURSO]],'[1]POS_EAD_0112 a 3101_CAMP. REG)'!$F$463:$L$688,7,FALSE)</f>
        <v>0.45</v>
      </c>
      <c r="AO35" s="71">
        <f>VLOOKUP(UNG[[#This Row],[CURSO]],'[1]POS_EAD_0112 a 3101_CAMP. REG)'!$F$463:$M$688,8,FALSE)</f>
        <v>133.32</v>
      </c>
      <c r="AP35" s="124">
        <f>VLOOKUP(UNG[[#This Row],[CURSO]],'[1]POS_EAD_0112 a 3101_CAMP. REG)'!$F$463:$P$688,11,FALSE)</f>
        <v>0.5</v>
      </c>
      <c r="AQ35" s="71">
        <f>VLOOKUP(UNG[[#This Row],[CURSO]],'[1]POS_EAD_0112 a 3101_CAMP. REG)'!$F$463:$Q$688,12,FALSE)</f>
        <v>121.2</v>
      </c>
      <c r="AS35" s="121" t="s">
        <v>114</v>
      </c>
      <c r="AT35" s="69" t="s">
        <v>19</v>
      </c>
      <c r="AU35" s="69" t="str">
        <f>VLOOKUP(UNINASSAU[[#This Row],[CURSO]],'[1]POS_EAD_0112 a 3101_CAMP. REG)'!$F$690:$G$915,2,FALSE)</f>
        <v>Humanas</v>
      </c>
      <c r="AV35" s="69">
        <f>VLOOKUP(UNINASSAU[[#This Row],[CURSO]],'[1]POS_EAD_0112 a 3101_CAMP. REG)'!$F$690:$H$915,3,FALSE)</f>
        <v>6</v>
      </c>
      <c r="AW35" s="69">
        <f>VLOOKUP(UNINASSAU[[#This Row],[CURSO]],'[1]POS_EAD_0112 a 3101_CAMP. REG)'!$F$690:$I$915,4,FALSE)</f>
        <v>13</v>
      </c>
      <c r="AX35" s="73">
        <f>VLOOKUP(UNINASSAU[[#This Row],[CURSO]],'[1]POS_EAD_0112 a 3101_CAMP. REG)'!$F$690:$J$915,5,FALSE)</f>
        <v>269.33202599999998</v>
      </c>
      <c r="AY35" s="72">
        <f>VLOOKUP(UNINASSAU[[#This Row],[CURSO]],'[1]POS_EAD_0112 a 3101_CAMP. REG)'!$F$690:$L$915,7,FALSE)</f>
        <v>0.45</v>
      </c>
      <c r="AZ35" s="73">
        <f>VLOOKUP(UNINASSAU[[#This Row],[CURSO]],'[1]POS_EAD_0112 a 3101_CAMP. REG)'!$F$690:$N$915,8,FALSE)</f>
        <v>133.32</v>
      </c>
      <c r="BA35" s="72">
        <f>VLOOKUP(UNINASSAU[[#This Row],[CURSO]],'[1]POS_EAD_0112 a 3101_CAMP. REG)'!$F$690:$P$915,11,FALSE)</f>
        <v>0.5</v>
      </c>
      <c r="BB35" s="73">
        <f>VLOOKUP(UNINASSAU[[#This Row],[CURSO]],'[1]POS_EAD_0112 a 3101_CAMP. REG)'!$F$690:$Q$915,12,FALSE)</f>
        <v>121.2</v>
      </c>
      <c r="BD35" s="104">
        <v>32</v>
      </c>
      <c r="BE35" s="121" t="s">
        <v>114</v>
      </c>
      <c r="BF35" s="69" t="s">
        <v>19</v>
      </c>
    </row>
    <row r="36" spans="12:58" x14ac:dyDescent="0.25">
      <c r="L36" s="121" t="s">
        <v>50</v>
      </c>
      <c r="M36" s="69" t="s">
        <v>19</v>
      </c>
      <c r="N36" s="69" t="str">
        <f>VLOOKUP($L$4,'[1]POS_EAD_0112 a 3101_CAMP. REG)'!$F$5:$G$231,2,FALSE)</f>
        <v>Humanas</v>
      </c>
      <c r="O36" s="69">
        <f>VLOOKUP(L36,'[1]POS_EAD_0112 a 3101_CAMP. REG)'!$F$5:$H$231,3,FALSE)</f>
        <v>6</v>
      </c>
      <c r="P36" s="68">
        <f>VLOOKUP(L36,'[1]POS_EAD_0112 a 3101_CAMP. REG)'!$F$5:$I$231,4,FALSE)</f>
        <v>13</v>
      </c>
      <c r="Q36" s="73">
        <f>VLOOKUP(L36,'[1]POS_EAD_0112 a 3101_CAMP. REG)'!$F$5:$J$231,5,FALSE)</f>
        <v>269.33202599999998</v>
      </c>
      <c r="R36" s="124">
        <f>VLOOKUP(L36,'[1]POS_EAD_0112 a 3101_CAMP. REG)'!$F$5:$L$231,7,FALSE)</f>
        <v>0.45</v>
      </c>
      <c r="S36" s="73">
        <f>VLOOKUP(L36,'[1]POS_EAD_0112 a 3101_CAMP. REG)'!$F$5:$M$231,8,FALSE)</f>
        <v>133.32</v>
      </c>
      <c r="T36" s="124">
        <f>VLOOKUP(L36,'[1]POS_EAD_0112 a 3101_CAMP. REG)'!$F$5:$P$231,11,FALSE)</f>
        <v>0.5</v>
      </c>
      <c r="U36" s="73">
        <f>VLOOKUP(L36,'[1]POS_EAD_0112 a 3101_CAMP. REG)'!$F$5:$Q$231,12,FALSE)</f>
        <v>121.2</v>
      </c>
      <c r="W36" s="121" t="s">
        <v>50</v>
      </c>
      <c r="X36" s="69" t="s">
        <v>19</v>
      </c>
      <c r="Y36" s="69" t="str">
        <f>VLOOKUP(W36,'[1]POS_EAD_0112 a 3101_CAMP. REG)'!$F$231:$G$461,2,FALSE)</f>
        <v>Humanas</v>
      </c>
      <c r="Z36" s="68">
        <f>VLOOKUP(W36,'[1]POS_EAD_0112 a 3101_CAMP. REG)'!$F$231:$H$461,3,FALSE)</f>
        <v>6</v>
      </c>
      <c r="AA36" s="68">
        <f>VLOOKUP(W36,'[1]POS_EAD_0112 a 3101_CAMP. REG)'!$F$231:$I$461,4,FALSE)</f>
        <v>13</v>
      </c>
      <c r="AB36" s="73">
        <f>VLOOKUP(W36,'[1]POS_EAD_0112 a 3101_CAMP. REG)'!$F$231:$J$461,5,FALSE)</f>
        <v>303.42628200000001</v>
      </c>
      <c r="AC36" s="72">
        <f>VLOOKUP(W36,'[1]POS_EAD_0112 a 3101_CAMP. REG)'!$F$231:$L$461,7,FALSE)</f>
        <v>0.45</v>
      </c>
      <c r="AD36" s="73">
        <f>VLOOKUP(W36,'[1]POS_EAD_0112 a 3101_CAMP. REG)'!$F$231:$M$461,8,FALSE)</f>
        <v>150.19999999999999</v>
      </c>
      <c r="AE36" s="72">
        <f>VLOOKUP(W36,'[1]POS_EAD_0112 a 3101_CAMP. REG)'!$F$231:$P$461,11,FALSE)</f>
        <v>0.5</v>
      </c>
      <c r="AF36" s="73">
        <f>VLOOKUP(W36,'[1]POS_EAD_0112 a 3101_CAMP. REG)'!$F$231:$Q$461,12,FALSE)</f>
        <v>136.54</v>
      </c>
      <c r="AH36" s="121" t="s">
        <v>50</v>
      </c>
      <c r="AI36" s="69" t="s">
        <v>19</v>
      </c>
      <c r="AJ36" s="68" t="str">
        <f>VLOOKUP(UNG[[#This Row],[CURSO]],'[1]POS_EAD_0112 a 3101_CAMP. REG)'!$F$463:$G$688,2,FALSE)</f>
        <v>Humanas</v>
      </c>
      <c r="AK36" s="68">
        <f>VLOOKUP(UNG[[#This Row],[CURSO]],'[1]POS_EAD_0112 a 3101_CAMP. REG)'!$F$463:$H$688,3,FALSE)</f>
        <v>6</v>
      </c>
      <c r="AL36" s="68">
        <f>VLOOKUP(UNG[[#This Row],[CURSO]],'[1]POS_EAD_0112 a 3101_CAMP. REG)'!$F$463:$I$688,4,FALSE)</f>
        <v>13</v>
      </c>
      <c r="AM36" s="71">
        <f>VLOOKUP(UNG[[#This Row],[CURSO]],'[1]POS_EAD_0112 a 3101_CAMP. REG)'!$F$463:$J$688,5,FALSE)</f>
        <v>269.33202599999998</v>
      </c>
      <c r="AN36" s="124">
        <f>VLOOKUP(UNG[[#This Row],[CURSO]],'[1]POS_EAD_0112 a 3101_CAMP. REG)'!$F$463:$L$688,7,FALSE)</f>
        <v>0.45</v>
      </c>
      <c r="AO36" s="71">
        <f>VLOOKUP(UNG[[#This Row],[CURSO]],'[1]POS_EAD_0112 a 3101_CAMP. REG)'!$F$463:$M$688,8,FALSE)</f>
        <v>133.32</v>
      </c>
      <c r="AP36" s="124">
        <f>VLOOKUP(UNG[[#This Row],[CURSO]],'[1]POS_EAD_0112 a 3101_CAMP. REG)'!$F$463:$P$688,11,FALSE)</f>
        <v>0.5</v>
      </c>
      <c r="AQ36" s="71">
        <f>VLOOKUP(UNG[[#This Row],[CURSO]],'[1]POS_EAD_0112 a 3101_CAMP. REG)'!$F$463:$Q$688,12,FALSE)</f>
        <v>121.2</v>
      </c>
      <c r="AS36" s="121" t="s">
        <v>50</v>
      </c>
      <c r="AT36" s="69" t="s">
        <v>19</v>
      </c>
      <c r="AU36" s="69" t="str">
        <f>VLOOKUP(UNINASSAU[[#This Row],[CURSO]],'[1]POS_EAD_0112 a 3101_CAMP. REG)'!$F$690:$G$915,2,FALSE)</f>
        <v>Humanas</v>
      </c>
      <c r="AV36" s="69">
        <f>VLOOKUP(UNINASSAU[[#This Row],[CURSO]],'[1]POS_EAD_0112 a 3101_CAMP. REG)'!$F$690:$H$915,3,FALSE)</f>
        <v>6</v>
      </c>
      <c r="AW36" s="69">
        <f>VLOOKUP(UNINASSAU[[#This Row],[CURSO]],'[1]POS_EAD_0112 a 3101_CAMP. REG)'!$F$690:$I$915,4,FALSE)</f>
        <v>13</v>
      </c>
      <c r="AX36" s="73">
        <f>VLOOKUP(UNINASSAU[[#This Row],[CURSO]],'[1]POS_EAD_0112 a 3101_CAMP. REG)'!$F$690:$J$915,5,FALSE)</f>
        <v>269.33202599999998</v>
      </c>
      <c r="AY36" s="72">
        <f>VLOOKUP(UNINASSAU[[#This Row],[CURSO]],'[1]POS_EAD_0112 a 3101_CAMP. REG)'!$F$690:$L$915,7,FALSE)</f>
        <v>0.45</v>
      </c>
      <c r="AZ36" s="73">
        <f>VLOOKUP(UNINASSAU[[#This Row],[CURSO]],'[1]POS_EAD_0112 a 3101_CAMP. REG)'!$F$690:$N$915,8,FALSE)</f>
        <v>133.32</v>
      </c>
      <c r="BA36" s="72">
        <f>VLOOKUP(UNINASSAU[[#This Row],[CURSO]],'[1]POS_EAD_0112 a 3101_CAMP. REG)'!$F$690:$P$915,11,FALSE)</f>
        <v>0.5</v>
      </c>
      <c r="BB36" s="73">
        <f>VLOOKUP(UNINASSAU[[#This Row],[CURSO]],'[1]POS_EAD_0112 a 3101_CAMP. REG)'!$F$690:$Q$915,12,FALSE)</f>
        <v>121.2</v>
      </c>
      <c r="BD36" s="104">
        <v>33</v>
      </c>
      <c r="BE36" s="121" t="s">
        <v>50</v>
      </c>
      <c r="BF36" s="69" t="s">
        <v>19</v>
      </c>
    </row>
    <row r="37" spans="12:58" x14ac:dyDescent="0.25">
      <c r="L37" s="121" t="s">
        <v>96</v>
      </c>
      <c r="M37" s="69" t="s">
        <v>19</v>
      </c>
      <c r="N37" s="69" t="str">
        <f>VLOOKUP($L$4,'[1]POS_EAD_0112 a 3101_CAMP. REG)'!$F$5:$G$231,2,FALSE)</f>
        <v>Humanas</v>
      </c>
      <c r="O37" s="69">
        <f>VLOOKUP(L37,'[1]POS_EAD_0112 a 3101_CAMP. REG)'!$F$5:$H$231,3,FALSE)</f>
        <v>6</v>
      </c>
      <c r="P37" s="68">
        <f>VLOOKUP(L37,'[1]POS_EAD_0112 a 3101_CAMP. REG)'!$F$5:$I$231,4,FALSE)</f>
        <v>13</v>
      </c>
      <c r="Q37" s="73">
        <f>VLOOKUP(L37,'[1]POS_EAD_0112 a 3101_CAMP. REG)'!$F$5:$J$231,5,FALSE)</f>
        <v>405.70905000000005</v>
      </c>
      <c r="R37" s="124">
        <f>VLOOKUP(L37,'[1]POS_EAD_0112 a 3101_CAMP. REG)'!$F$5:$L$231,7,FALSE)</f>
        <v>0.45</v>
      </c>
      <c r="S37" s="73">
        <f>VLOOKUP(L37,'[1]POS_EAD_0112 a 3101_CAMP. REG)'!$F$5:$M$231,8,FALSE)</f>
        <v>200.83</v>
      </c>
      <c r="T37" s="124">
        <f>VLOOKUP(L37,'[1]POS_EAD_0112 a 3101_CAMP. REG)'!$F$5:$P$231,11,FALSE)</f>
        <v>0.5</v>
      </c>
      <c r="U37" s="73">
        <f>VLOOKUP(L37,'[1]POS_EAD_0112 a 3101_CAMP. REG)'!$F$5:$Q$231,12,FALSE)</f>
        <v>182.57</v>
      </c>
      <c r="W37" s="121" t="s">
        <v>96</v>
      </c>
      <c r="X37" s="69" t="s">
        <v>19</v>
      </c>
      <c r="Y37" s="69" t="str">
        <f>VLOOKUP(W37,'[1]POS_EAD_0112 a 3101_CAMP. REG)'!$F$231:$G$461,2,FALSE)</f>
        <v>Saúde</v>
      </c>
      <c r="Z37" s="68">
        <f>VLOOKUP(W37,'[1]POS_EAD_0112 a 3101_CAMP. REG)'!$F$231:$H$461,3,FALSE)</f>
        <v>6</v>
      </c>
      <c r="AA37" s="68">
        <f>VLOOKUP(W37,'[1]POS_EAD_0112 a 3101_CAMP. REG)'!$F$231:$I$461,4,FALSE)</f>
        <v>13</v>
      </c>
      <c r="AB37" s="73">
        <f>VLOOKUP(W37,'[1]POS_EAD_0112 a 3101_CAMP. REG)'!$F$231:$J$461,5,FALSE)</f>
        <v>439.79280900000003</v>
      </c>
      <c r="AC37" s="72">
        <f>VLOOKUP(W37,'[1]POS_EAD_0112 a 3101_CAMP. REG)'!$F$231:$L$461,7,FALSE)</f>
        <v>0.45</v>
      </c>
      <c r="AD37" s="73">
        <f>VLOOKUP(W37,'[1]POS_EAD_0112 a 3101_CAMP. REG)'!$F$231:$M$461,8,FALSE)</f>
        <v>217.7</v>
      </c>
      <c r="AE37" s="72">
        <f>VLOOKUP(W37,'[1]POS_EAD_0112 a 3101_CAMP. REG)'!$F$231:$P$461,11,FALSE)</f>
        <v>0.5</v>
      </c>
      <c r="AF37" s="73">
        <f>VLOOKUP(W37,'[1]POS_EAD_0112 a 3101_CAMP. REG)'!$F$231:$Q$461,12,FALSE)</f>
        <v>197.91</v>
      </c>
      <c r="AH37" s="121" t="s">
        <v>96</v>
      </c>
      <c r="AI37" s="69" t="s">
        <v>19</v>
      </c>
      <c r="AJ37" s="68" t="str">
        <f>VLOOKUP(UNG[[#This Row],[CURSO]],'[1]POS_EAD_0112 a 3101_CAMP. REG)'!$F$463:$G$688,2,FALSE)</f>
        <v>Saúde</v>
      </c>
      <c r="AK37" s="68">
        <f>VLOOKUP(UNG[[#This Row],[CURSO]],'[1]POS_EAD_0112 a 3101_CAMP. REG)'!$F$463:$H$688,3,FALSE)</f>
        <v>6</v>
      </c>
      <c r="AL37" s="68">
        <f>VLOOKUP(UNG[[#This Row],[CURSO]],'[1]POS_EAD_0112 a 3101_CAMP. REG)'!$F$463:$I$688,4,FALSE)</f>
        <v>13</v>
      </c>
      <c r="AM37" s="71">
        <f>VLOOKUP(UNG[[#This Row],[CURSO]],'[1]POS_EAD_0112 a 3101_CAMP. REG)'!$F$463:$J$688,5,FALSE)</f>
        <v>405.70905000000005</v>
      </c>
      <c r="AN37" s="124">
        <f>VLOOKUP(UNG[[#This Row],[CURSO]],'[1]POS_EAD_0112 a 3101_CAMP. REG)'!$F$463:$L$688,7,FALSE)</f>
        <v>0.45</v>
      </c>
      <c r="AO37" s="71">
        <f>VLOOKUP(UNG[[#This Row],[CURSO]],'[1]POS_EAD_0112 a 3101_CAMP. REG)'!$F$463:$M$688,8,FALSE)</f>
        <v>200.83</v>
      </c>
      <c r="AP37" s="124">
        <f>VLOOKUP(UNG[[#This Row],[CURSO]],'[1]POS_EAD_0112 a 3101_CAMP. REG)'!$F$463:$P$688,11,FALSE)</f>
        <v>0.5</v>
      </c>
      <c r="AQ37" s="71">
        <f>VLOOKUP(UNG[[#This Row],[CURSO]],'[1]POS_EAD_0112 a 3101_CAMP. REG)'!$F$463:$Q$688,12,FALSE)</f>
        <v>182.57</v>
      </c>
      <c r="AS37" s="121" t="s">
        <v>96</v>
      </c>
      <c r="AT37" s="69" t="s">
        <v>19</v>
      </c>
      <c r="AU37" s="69" t="str">
        <f>VLOOKUP(UNINASSAU[[#This Row],[CURSO]],'[1]POS_EAD_0112 a 3101_CAMP. REG)'!$F$690:$G$915,2,FALSE)</f>
        <v>Saúde</v>
      </c>
      <c r="AV37" s="69">
        <f>VLOOKUP(UNINASSAU[[#This Row],[CURSO]],'[1]POS_EAD_0112 a 3101_CAMP. REG)'!$F$690:$H$915,3,FALSE)</f>
        <v>6</v>
      </c>
      <c r="AW37" s="69">
        <f>VLOOKUP(UNINASSAU[[#This Row],[CURSO]],'[1]POS_EAD_0112 a 3101_CAMP. REG)'!$F$690:$I$915,4,FALSE)</f>
        <v>13</v>
      </c>
      <c r="AX37" s="73">
        <f>VLOOKUP(UNINASSAU[[#This Row],[CURSO]],'[1]POS_EAD_0112 a 3101_CAMP. REG)'!$F$690:$J$915,5,FALSE)</f>
        <v>405.70905000000005</v>
      </c>
      <c r="AY37" s="72">
        <f>VLOOKUP(UNINASSAU[[#This Row],[CURSO]],'[1]POS_EAD_0112 a 3101_CAMP. REG)'!$F$690:$L$915,7,FALSE)</f>
        <v>0.45</v>
      </c>
      <c r="AZ37" s="73">
        <f>VLOOKUP(UNINASSAU[[#This Row],[CURSO]],'[1]POS_EAD_0112 a 3101_CAMP. REG)'!$F$690:$N$915,8,FALSE)</f>
        <v>200.83</v>
      </c>
      <c r="BA37" s="72">
        <f>VLOOKUP(UNINASSAU[[#This Row],[CURSO]],'[1]POS_EAD_0112 a 3101_CAMP. REG)'!$F$690:$P$915,11,FALSE)</f>
        <v>0.5</v>
      </c>
      <c r="BB37" s="73">
        <f>VLOOKUP(UNINASSAU[[#This Row],[CURSO]],'[1]POS_EAD_0112 a 3101_CAMP. REG)'!$F$690:$Q$915,12,FALSE)</f>
        <v>182.57</v>
      </c>
      <c r="BD37" s="104">
        <v>34</v>
      </c>
      <c r="BE37" s="121" t="s">
        <v>96</v>
      </c>
      <c r="BF37" s="69" t="s">
        <v>19</v>
      </c>
    </row>
    <row r="38" spans="12:58" x14ac:dyDescent="0.25">
      <c r="L38" s="121" t="s">
        <v>47</v>
      </c>
      <c r="M38" s="69" t="s">
        <v>19</v>
      </c>
      <c r="N38" s="69" t="str">
        <f>VLOOKUP($L$4,'[1]POS_EAD_0112 a 3101_CAMP. REG)'!$F$5:$G$231,2,FALSE)</f>
        <v>Humanas</v>
      </c>
      <c r="O38" s="69">
        <f>VLOOKUP(L38,'[1]POS_EAD_0112 a 3101_CAMP. REG)'!$F$5:$H$231,3,FALSE)</f>
        <v>6</v>
      </c>
      <c r="P38" s="68">
        <f>VLOOKUP(L38,'[1]POS_EAD_0112 a 3101_CAMP. REG)'!$F$5:$I$231,4,FALSE)</f>
        <v>13</v>
      </c>
      <c r="Q38" s="73">
        <f>VLOOKUP(L38,'[1]POS_EAD_0112 a 3101_CAMP. REG)'!$F$5:$J$231,5,FALSE)</f>
        <v>269.33202599999998</v>
      </c>
      <c r="R38" s="124">
        <f>VLOOKUP(L38,'[1]POS_EAD_0112 a 3101_CAMP. REG)'!$F$5:$L$231,7,FALSE)</f>
        <v>0.45</v>
      </c>
      <c r="S38" s="73">
        <f>VLOOKUP(L38,'[1]POS_EAD_0112 a 3101_CAMP. REG)'!$F$5:$M$231,8,FALSE)</f>
        <v>133.32</v>
      </c>
      <c r="T38" s="124">
        <f>VLOOKUP(L38,'[1]POS_EAD_0112 a 3101_CAMP. REG)'!$F$5:$P$231,11,FALSE)</f>
        <v>0.5</v>
      </c>
      <c r="U38" s="73">
        <f>VLOOKUP(L38,'[1]POS_EAD_0112 a 3101_CAMP. REG)'!$F$5:$Q$231,12,FALSE)</f>
        <v>121.2</v>
      </c>
      <c r="W38" s="121" t="s">
        <v>47</v>
      </c>
      <c r="X38" s="69" t="s">
        <v>19</v>
      </c>
      <c r="Y38" s="69" t="str">
        <f>VLOOKUP(W38,'[1]POS_EAD_0112 a 3101_CAMP. REG)'!$F$231:$G$461,2,FALSE)</f>
        <v>Exatas</v>
      </c>
      <c r="Z38" s="68">
        <f>VLOOKUP(W38,'[1]POS_EAD_0112 a 3101_CAMP. REG)'!$F$231:$H$461,3,FALSE)</f>
        <v>6</v>
      </c>
      <c r="AA38" s="68">
        <f>VLOOKUP(W38,'[1]POS_EAD_0112 a 3101_CAMP. REG)'!$F$231:$I$461,4,FALSE)</f>
        <v>13</v>
      </c>
      <c r="AB38" s="73">
        <f>VLOOKUP(W38,'[1]POS_EAD_0112 a 3101_CAMP. REG)'!$F$231:$J$461,5,FALSE)</f>
        <v>303.42628200000001</v>
      </c>
      <c r="AC38" s="72">
        <f>VLOOKUP(W38,'[1]POS_EAD_0112 a 3101_CAMP. REG)'!$F$231:$L$461,7,FALSE)</f>
        <v>0.45</v>
      </c>
      <c r="AD38" s="73">
        <f>VLOOKUP(W38,'[1]POS_EAD_0112 a 3101_CAMP. REG)'!$F$231:$M$461,8,FALSE)</f>
        <v>150.19999999999999</v>
      </c>
      <c r="AE38" s="72">
        <f>VLOOKUP(W38,'[1]POS_EAD_0112 a 3101_CAMP. REG)'!$F$231:$P$461,11,FALSE)</f>
        <v>0.5</v>
      </c>
      <c r="AF38" s="73">
        <f>VLOOKUP(W38,'[1]POS_EAD_0112 a 3101_CAMP. REG)'!$F$231:$Q$461,12,FALSE)</f>
        <v>136.54</v>
      </c>
      <c r="AH38" s="121" t="s">
        <v>47</v>
      </c>
      <c r="AI38" s="69" t="s">
        <v>19</v>
      </c>
      <c r="AJ38" s="68" t="str">
        <f>VLOOKUP(UNG[[#This Row],[CURSO]],'[1]POS_EAD_0112 a 3101_CAMP. REG)'!$F$463:$G$688,2,FALSE)</f>
        <v>Exatas</v>
      </c>
      <c r="AK38" s="68">
        <f>VLOOKUP(UNG[[#This Row],[CURSO]],'[1]POS_EAD_0112 a 3101_CAMP. REG)'!$F$463:$H$688,3,FALSE)</f>
        <v>6</v>
      </c>
      <c r="AL38" s="68">
        <f>VLOOKUP(UNG[[#This Row],[CURSO]],'[1]POS_EAD_0112 a 3101_CAMP. REG)'!$F$463:$I$688,4,FALSE)</f>
        <v>13</v>
      </c>
      <c r="AM38" s="71">
        <f>VLOOKUP(UNG[[#This Row],[CURSO]],'[1]POS_EAD_0112 a 3101_CAMP. REG)'!$F$463:$J$688,5,FALSE)</f>
        <v>269.33202599999998</v>
      </c>
      <c r="AN38" s="124">
        <f>VLOOKUP(UNG[[#This Row],[CURSO]],'[1]POS_EAD_0112 a 3101_CAMP. REG)'!$F$463:$L$688,7,FALSE)</f>
        <v>0.45</v>
      </c>
      <c r="AO38" s="71">
        <f>VLOOKUP(UNG[[#This Row],[CURSO]],'[1]POS_EAD_0112 a 3101_CAMP. REG)'!$F$463:$M$688,8,FALSE)</f>
        <v>133.32</v>
      </c>
      <c r="AP38" s="124">
        <f>VLOOKUP(UNG[[#This Row],[CURSO]],'[1]POS_EAD_0112 a 3101_CAMP. REG)'!$F$463:$P$688,11,FALSE)</f>
        <v>0.5</v>
      </c>
      <c r="AQ38" s="71">
        <f>VLOOKUP(UNG[[#This Row],[CURSO]],'[1]POS_EAD_0112 a 3101_CAMP. REG)'!$F$463:$Q$688,12,FALSE)</f>
        <v>121.2</v>
      </c>
      <c r="AS38" s="121" t="s">
        <v>47</v>
      </c>
      <c r="AT38" s="69" t="s">
        <v>19</v>
      </c>
      <c r="AU38" s="69" t="str">
        <f>VLOOKUP(UNINASSAU[[#This Row],[CURSO]],'[1]POS_EAD_0112 a 3101_CAMP. REG)'!$F$690:$G$915,2,FALSE)</f>
        <v>Exatas</v>
      </c>
      <c r="AV38" s="69">
        <f>VLOOKUP(UNINASSAU[[#This Row],[CURSO]],'[1]POS_EAD_0112 a 3101_CAMP. REG)'!$F$690:$H$915,3,FALSE)</f>
        <v>6</v>
      </c>
      <c r="AW38" s="69">
        <f>VLOOKUP(UNINASSAU[[#This Row],[CURSO]],'[1]POS_EAD_0112 a 3101_CAMP. REG)'!$F$690:$I$915,4,FALSE)</f>
        <v>13</v>
      </c>
      <c r="AX38" s="73">
        <f>VLOOKUP(UNINASSAU[[#This Row],[CURSO]],'[1]POS_EAD_0112 a 3101_CAMP. REG)'!$F$690:$J$915,5,FALSE)</f>
        <v>269.33202599999998</v>
      </c>
      <c r="AY38" s="72">
        <f>VLOOKUP(UNINASSAU[[#This Row],[CURSO]],'[1]POS_EAD_0112 a 3101_CAMP. REG)'!$F$690:$L$915,7,FALSE)</f>
        <v>0.45</v>
      </c>
      <c r="AZ38" s="73">
        <f>VLOOKUP(UNINASSAU[[#This Row],[CURSO]],'[1]POS_EAD_0112 a 3101_CAMP. REG)'!$F$690:$N$915,8,FALSE)</f>
        <v>133.32</v>
      </c>
      <c r="BA38" s="72">
        <f>VLOOKUP(UNINASSAU[[#This Row],[CURSO]],'[1]POS_EAD_0112 a 3101_CAMP. REG)'!$F$690:$P$915,11,FALSE)</f>
        <v>0.5</v>
      </c>
      <c r="BB38" s="73">
        <f>VLOOKUP(UNINASSAU[[#This Row],[CURSO]],'[1]POS_EAD_0112 a 3101_CAMP. REG)'!$F$690:$Q$915,12,FALSE)</f>
        <v>121.2</v>
      </c>
      <c r="BD38" s="104">
        <v>35</v>
      </c>
      <c r="BE38" s="121" t="s">
        <v>47</v>
      </c>
      <c r="BF38" s="69" t="s">
        <v>19</v>
      </c>
    </row>
    <row r="39" spans="12:58" x14ac:dyDescent="0.25">
      <c r="L39" s="121" t="s">
        <v>130</v>
      </c>
      <c r="M39" s="69" t="s">
        <v>19</v>
      </c>
      <c r="N39" s="69" t="str">
        <f>VLOOKUP($L$4,'[1]POS_EAD_0112 a 3101_CAMP. REG)'!$F$5:$G$231,2,FALSE)</f>
        <v>Humanas</v>
      </c>
      <c r="O39" s="69">
        <f>VLOOKUP(L39,'[1]POS_EAD_0112 a 3101_CAMP. REG)'!$F$5:$H$231,3,FALSE)</f>
        <v>6</v>
      </c>
      <c r="P39" s="68">
        <f>VLOOKUP(L39,'[1]POS_EAD_0112 a 3101_CAMP. REG)'!$F$5:$I$231,4,FALSE)</f>
        <v>13</v>
      </c>
      <c r="Q39" s="73">
        <f>VLOOKUP(L39,'[1]POS_EAD_0112 a 3101_CAMP. REG)'!$F$5:$J$231,5,FALSE)</f>
        <v>269.33202599999998</v>
      </c>
      <c r="R39" s="124">
        <f>VLOOKUP(L39,'[1]POS_EAD_0112 a 3101_CAMP. REG)'!$F$5:$L$231,7,FALSE)</f>
        <v>0.45</v>
      </c>
      <c r="S39" s="73">
        <f>VLOOKUP(L39,'[1]POS_EAD_0112 a 3101_CAMP. REG)'!$F$5:$M$231,8,FALSE)</f>
        <v>133.32</v>
      </c>
      <c r="T39" s="124">
        <f>VLOOKUP(L39,'[1]POS_EAD_0112 a 3101_CAMP. REG)'!$F$5:$P$231,11,FALSE)</f>
        <v>0.5</v>
      </c>
      <c r="U39" s="73">
        <f>VLOOKUP(L39,'[1]POS_EAD_0112 a 3101_CAMP. REG)'!$F$5:$Q$231,12,FALSE)</f>
        <v>121.2</v>
      </c>
      <c r="W39" s="121" t="s">
        <v>130</v>
      </c>
      <c r="X39" s="69" t="s">
        <v>19</v>
      </c>
      <c r="Y39" s="69" t="str">
        <f>VLOOKUP(W39,'[1]POS_EAD_0112 a 3101_CAMP. REG)'!$F$231:$G$461,2,FALSE)</f>
        <v>Humanas</v>
      </c>
      <c r="Z39" s="68">
        <f>VLOOKUP(W39,'[1]POS_EAD_0112 a 3101_CAMP. REG)'!$F$231:$H$461,3,FALSE)</f>
        <v>6</v>
      </c>
      <c r="AA39" s="68">
        <f>VLOOKUP(W39,'[1]POS_EAD_0112 a 3101_CAMP. REG)'!$F$231:$I$461,4,FALSE)</f>
        <v>13</v>
      </c>
      <c r="AB39" s="73">
        <f>VLOOKUP(W39,'[1]POS_EAD_0112 a 3101_CAMP. REG)'!$F$231:$J$461,5,FALSE)</f>
        <v>303.42628200000001</v>
      </c>
      <c r="AC39" s="72">
        <f>VLOOKUP(W39,'[1]POS_EAD_0112 a 3101_CAMP. REG)'!$F$231:$L$461,7,FALSE)</f>
        <v>0.45</v>
      </c>
      <c r="AD39" s="73">
        <f>VLOOKUP(W39,'[1]POS_EAD_0112 a 3101_CAMP. REG)'!$F$231:$M$461,8,FALSE)</f>
        <v>150.19999999999999</v>
      </c>
      <c r="AE39" s="72">
        <f>VLOOKUP(W39,'[1]POS_EAD_0112 a 3101_CAMP. REG)'!$F$231:$P$461,11,FALSE)</f>
        <v>0.5</v>
      </c>
      <c r="AF39" s="73">
        <f>VLOOKUP(W39,'[1]POS_EAD_0112 a 3101_CAMP. REG)'!$F$231:$Q$461,12,FALSE)</f>
        <v>136.54</v>
      </c>
      <c r="AH39" s="121" t="s">
        <v>130</v>
      </c>
      <c r="AI39" s="69" t="s">
        <v>19</v>
      </c>
      <c r="AJ39" s="68" t="str">
        <f>VLOOKUP(UNG[[#This Row],[CURSO]],'[1]POS_EAD_0112 a 3101_CAMP. REG)'!$F$463:$G$688,2,FALSE)</f>
        <v>Humanas</v>
      </c>
      <c r="AK39" s="68">
        <f>VLOOKUP(UNG[[#This Row],[CURSO]],'[1]POS_EAD_0112 a 3101_CAMP. REG)'!$F$463:$H$688,3,FALSE)</f>
        <v>6</v>
      </c>
      <c r="AL39" s="68">
        <f>VLOOKUP(UNG[[#This Row],[CURSO]],'[1]POS_EAD_0112 a 3101_CAMP. REG)'!$F$463:$I$688,4,FALSE)</f>
        <v>13</v>
      </c>
      <c r="AM39" s="71">
        <f>VLOOKUP(UNG[[#This Row],[CURSO]],'[1]POS_EAD_0112 a 3101_CAMP. REG)'!$F$463:$J$688,5,FALSE)</f>
        <v>269.33202599999998</v>
      </c>
      <c r="AN39" s="124">
        <f>VLOOKUP(UNG[[#This Row],[CURSO]],'[1]POS_EAD_0112 a 3101_CAMP. REG)'!$F$463:$L$688,7,FALSE)</f>
        <v>0.45</v>
      </c>
      <c r="AO39" s="71">
        <f>VLOOKUP(UNG[[#This Row],[CURSO]],'[1]POS_EAD_0112 a 3101_CAMP. REG)'!$F$463:$M$688,8,FALSE)</f>
        <v>133.32</v>
      </c>
      <c r="AP39" s="124">
        <f>VLOOKUP(UNG[[#This Row],[CURSO]],'[1]POS_EAD_0112 a 3101_CAMP. REG)'!$F$463:$P$688,11,FALSE)</f>
        <v>0.5</v>
      </c>
      <c r="AQ39" s="71">
        <f>VLOOKUP(UNG[[#This Row],[CURSO]],'[1]POS_EAD_0112 a 3101_CAMP. REG)'!$F$463:$Q$688,12,FALSE)</f>
        <v>121.2</v>
      </c>
      <c r="AS39" s="121" t="s">
        <v>130</v>
      </c>
      <c r="AT39" s="69" t="s">
        <v>19</v>
      </c>
      <c r="AU39" s="69" t="str">
        <f>VLOOKUP(UNINASSAU[[#This Row],[CURSO]],'[1]POS_EAD_0112 a 3101_CAMP. REG)'!$F$690:$G$915,2,FALSE)</f>
        <v>Humanas</v>
      </c>
      <c r="AV39" s="69">
        <f>VLOOKUP(UNINASSAU[[#This Row],[CURSO]],'[1]POS_EAD_0112 a 3101_CAMP. REG)'!$F$690:$H$915,3,FALSE)</f>
        <v>6</v>
      </c>
      <c r="AW39" s="69">
        <f>VLOOKUP(UNINASSAU[[#This Row],[CURSO]],'[1]POS_EAD_0112 a 3101_CAMP. REG)'!$F$690:$I$915,4,FALSE)</f>
        <v>13</v>
      </c>
      <c r="AX39" s="73">
        <f>VLOOKUP(UNINASSAU[[#This Row],[CURSO]],'[1]POS_EAD_0112 a 3101_CAMP. REG)'!$F$690:$J$915,5,FALSE)</f>
        <v>269.33202599999998</v>
      </c>
      <c r="AY39" s="72">
        <f>VLOOKUP(UNINASSAU[[#This Row],[CURSO]],'[1]POS_EAD_0112 a 3101_CAMP. REG)'!$F$690:$L$915,7,FALSE)</f>
        <v>0.45</v>
      </c>
      <c r="AZ39" s="73">
        <f>VLOOKUP(UNINASSAU[[#This Row],[CURSO]],'[1]POS_EAD_0112 a 3101_CAMP. REG)'!$F$690:$N$915,8,FALSE)</f>
        <v>133.32</v>
      </c>
      <c r="BA39" s="72">
        <f>VLOOKUP(UNINASSAU[[#This Row],[CURSO]],'[1]POS_EAD_0112 a 3101_CAMP. REG)'!$F$690:$P$915,11,FALSE)</f>
        <v>0.5</v>
      </c>
      <c r="BB39" s="73">
        <f>VLOOKUP(UNINASSAU[[#This Row],[CURSO]],'[1]POS_EAD_0112 a 3101_CAMP. REG)'!$F$690:$Q$915,12,FALSE)</f>
        <v>121.2</v>
      </c>
      <c r="BD39" s="104">
        <v>36</v>
      </c>
      <c r="BE39" s="121" t="s">
        <v>130</v>
      </c>
      <c r="BF39" s="69" t="s">
        <v>19</v>
      </c>
    </row>
    <row r="40" spans="12:58" x14ac:dyDescent="0.25">
      <c r="L40" s="121" t="s">
        <v>195</v>
      </c>
      <c r="M40" s="69" t="s">
        <v>19</v>
      </c>
      <c r="N40" s="69" t="str">
        <f>VLOOKUP($L$4,'[1]POS_EAD_0112 a 3101_CAMP. REG)'!$F$5:$G$231,2,FALSE)</f>
        <v>Humanas</v>
      </c>
      <c r="O40" s="69">
        <f>VLOOKUP(L40,'[1]POS_EAD_0112 a 3101_CAMP. REG)'!$F$5:$H$231,3,FALSE)</f>
        <v>6</v>
      </c>
      <c r="P40" s="68">
        <f>VLOOKUP(L40,'[1]POS_EAD_0112 a 3101_CAMP. REG)'!$F$5:$I$231,4,FALSE)</f>
        <v>13</v>
      </c>
      <c r="Q40" s="73">
        <f>VLOOKUP(L40,'[1]POS_EAD_0112 a 3101_CAMP. REG)'!$F$5:$J$231,5,FALSE)</f>
        <v>269.33202599999998</v>
      </c>
      <c r="R40" s="124">
        <f>VLOOKUP(L40,'[1]POS_EAD_0112 a 3101_CAMP. REG)'!$F$5:$L$231,7,FALSE)</f>
        <v>0.45</v>
      </c>
      <c r="S40" s="73">
        <f>VLOOKUP(L40,'[1]POS_EAD_0112 a 3101_CAMP. REG)'!$F$5:$M$231,8,FALSE)</f>
        <v>133.32</v>
      </c>
      <c r="T40" s="124">
        <f>VLOOKUP(L40,'[1]POS_EAD_0112 a 3101_CAMP. REG)'!$F$5:$P$231,11,FALSE)</f>
        <v>0.5</v>
      </c>
      <c r="U40" s="73">
        <f>VLOOKUP(L40,'[1]POS_EAD_0112 a 3101_CAMP. REG)'!$F$5:$Q$231,12,FALSE)</f>
        <v>121.2</v>
      </c>
      <c r="W40" s="121" t="s">
        <v>195</v>
      </c>
      <c r="X40" s="69" t="s">
        <v>19</v>
      </c>
      <c r="Y40" s="69" t="str">
        <f>VLOOKUP(W40,'[1]POS_EAD_0112 a 3101_CAMP. REG)'!$F$231:$G$461,2,FALSE)</f>
        <v>Exatas</v>
      </c>
      <c r="Z40" s="68">
        <f>VLOOKUP(W40,'[1]POS_EAD_0112 a 3101_CAMP. REG)'!$F$231:$H$461,3,FALSE)</f>
        <v>6</v>
      </c>
      <c r="AA40" s="68">
        <f>VLOOKUP(W40,'[1]POS_EAD_0112 a 3101_CAMP. REG)'!$F$231:$I$461,4,FALSE)</f>
        <v>13</v>
      </c>
      <c r="AB40" s="73">
        <f>VLOOKUP(W40,'[1]POS_EAD_0112 a 3101_CAMP. REG)'!$F$231:$J$461,5,FALSE)</f>
        <v>303.42628200000001</v>
      </c>
      <c r="AC40" s="72">
        <f>VLOOKUP(W40,'[1]POS_EAD_0112 a 3101_CAMP. REG)'!$F$231:$L$461,7,FALSE)</f>
        <v>0.45</v>
      </c>
      <c r="AD40" s="73">
        <f>VLOOKUP(W40,'[1]POS_EAD_0112 a 3101_CAMP. REG)'!$F$231:$M$461,8,FALSE)</f>
        <v>150.19999999999999</v>
      </c>
      <c r="AE40" s="72">
        <f>VLOOKUP(W40,'[1]POS_EAD_0112 a 3101_CAMP. REG)'!$F$231:$P$461,11,FALSE)</f>
        <v>0.5</v>
      </c>
      <c r="AF40" s="73">
        <f>VLOOKUP(W40,'[1]POS_EAD_0112 a 3101_CAMP. REG)'!$F$231:$Q$461,12,FALSE)</f>
        <v>136.54</v>
      </c>
      <c r="AH40" s="121" t="s">
        <v>195</v>
      </c>
      <c r="AI40" s="69" t="s">
        <v>19</v>
      </c>
      <c r="AJ40" s="68" t="str">
        <f>VLOOKUP(UNG[[#This Row],[CURSO]],'[1]POS_EAD_0112 a 3101_CAMP. REG)'!$F$463:$G$688,2,FALSE)</f>
        <v>Exatas</v>
      </c>
      <c r="AK40" s="68">
        <f>VLOOKUP(UNG[[#This Row],[CURSO]],'[1]POS_EAD_0112 a 3101_CAMP. REG)'!$F$463:$H$688,3,FALSE)</f>
        <v>6</v>
      </c>
      <c r="AL40" s="68">
        <f>VLOOKUP(UNG[[#This Row],[CURSO]],'[1]POS_EAD_0112 a 3101_CAMP. REG)'!$F$463:$I$688,4,FALSE)</f>
        <v>13</v>
      </c>
      <c r="AM40" s="71">
        <f>VLOOKUP(UNG[[#This Row],[CURSO]],'[1]POS_EAD_0112 a 3101_CAMP. REG)'!$F$463:$J$688,5,FALSE)</f>
        <v>269.33202599999998</v>
      </c>
      <c r="AN40" s="124">
        <f>VLOOKUP(UNG[[#This Row],[CURSO]],'[1]POS_EAD_0112 a 3101_CAMP. REG)'!$F$463:$L$688,7,FALSE)</f>
        <v>0.45</v>
      </c>
      <c r="AO40" s="71">
        <f>VLOOKUP(UNG[[#This Row],[CURSO]],'[1]POS_EAD_0112 a 3101_CAMP. REG)'!$F$463:$M$688,8,FALSE)</f>
        <v>133.32</v>
      </c>
      <c r="AP40" s="124">
        <f>VLOOKUP(UNG[[#This Row],[CURSO]],'[1]POS_EAD_0112 a 3101_CAMP. REG)'!$F$463:$P$688,11,FALSE)</f>
        <v>0.5</v>
      </c>
      <c r="AQ40" s="71">
        <f>VLOOKUP(UNG[[#This Row],[CURSO]],'[1]POS_EAD_0112 a 3101_CAMP. REG)'!$F$463:$Q$688,12,FALSE)</f>
        <v>121.2</v>
      </c>
      <c r="AS40" s="121" t="s">
        <v>195</v>
      </c>
      <c r="AT40" s="69" t="s">
        <v>19</v>
      </c>
      <c r="AU40" s="69" t="str">
        <f>VLOOKUP(UNINASSAU[[#This Row],[CURSO]],'[1]POS_EAD_0112 a 3101_CAMP. REG)'!$F$690:$G$915,2,FALSE)</f>
        <v>Exatas</v>
      </c>
      <c r="AV40" s="69">
        <f>VLOOKUP(UNINASSAU[[#This Row],[CURSO]],'[1]POS_EAD_0112 a 3101_CAMP. REG)'!$F$690:$H$915,3,FALSE)</f>
        <v>6</v>
      </c>
      <c r="AW40" s="69">
        <f>VLOOKUP(UNINASSAU[[#This Row],[CURSO]],'[1]POS_EAD_0112 a 3101_CAMP. REG)'!$F$690:$I$915,4,FALSE)</f>
        <v>13</v>
      </c>
      <c r="AX40" s="73">
        <f>VLOOKUP(UNINASSAU[[#This Row],[CURSO]],'[1]POS_EAD_0112 a 3101_CAMP. REG)'!$F$690:$J$915,5,FALSE)</f>
        <v>269.33202599999998</v>
      </c>
      <c r="AY40" s="72">
        <f>VLOOKUP(UNINASSAU[[#This Row],[CURSO]],'[1]POS_EAD_0112 a 3101_CAMP. REG)'!$F$690:$L$915,7,FALSE)</f>
        <v>0.45</v>
      </c>
      <c r="AZ40" s="73">
        <f>VLOOKUP(UNINASSAU[[#This Row],[CURSO]],'[1]POS_EAD_0112 a 3101_CAMP. REG)'!$F$690:$N$915,8,FALSE)</f>
        <v>133.32</v>
      </c>
      <c r="BA40" s="72">
        <f>VLOOKUP(UNINASSAU[[#This Row],[CURSO]],'[1]POS_EAD_0112 a 3101_CAMP. REG)'!$F$690:$P$915,11,FALSE)</f>
        <v>0.5</v>
      </c>
      <c r="BB40" s="73">
        <f>VLOOKUP(UNINASSAU[[#This Row],[CURSO]],'[1]POS_EAD_0112 a 3101_CAMP. REG)'!$F$690:$Q$915,12,FALSE)</f>
        <v>121.2</v>
      </c>
      <c r="BD40" s="104">
        <v>37</v>
      </c>
      <c r="BE40" s="121" t="s">
        <v>195</v>
      </c>
      <c r="BF40" s="69" t="s">
        <v>19</v>
      </c>
    </row>
    <row r="41" spans="12:58" x14ac:dyDescent="0.25">
      <c r="L41" s="121" t="s">
        <v>80</v>
      </c>
      <c r="M41" s="69" t="s">
        <v>19</v>
      </c>
      <c r="N41" s="69" t="str">
        <f>VLOOKUP($L$4,'[1]POS_EAD_0112 a 3101_CAMP. REG)'!$F$5:$G$231,2,FALSE)</f>
        <v>Humanas</v>
      </c>
      <c r="O41" s="69">
        <f>VLOOKUP(L41,'[1]POS_EAD_0112 a 3101_CAMP. REG)'!$F$5:$H$231,3,FALSE)</f>
        <v>6</v>
      </c>
      <c r="P41" s="68">
        <f>VLOOKUP(L41,'[1]POS_EAD_0112 a 3101_CAMP. REG)'!$F$5:$I$231,4,FALSE)</f>
        <v>13</v>
      </c>
      <c r="Q41" s="73">
        <f>VLOOKUP(L41,'[1]POS_EAD_0112 a 3101_CAMP. REG)'!$F$5:$J$231,5,FALSE)</f>
        <v>269.33202599999998</v>
      </c>
      <c r="R41" s="124">
        <f>VLOOKUP(L41,'[1]POS_EAD_0112 a 3101_CAMP. REG)'!$F$5:$L$231,7,FALSE)</f>
        <v>0.45</v>
      </c>
      <c r="S41" s="73">
        <f>VLOOKUP(L41,'[1]POS_EAD_0112 a 3101_CAMP. REG)'!$F$5:$M$231,8,FALSE)</f>
        <v>133.32</v>
      </c>
      <c r="T41" s="124">
        <f>VLOOKUP(L41,'[1]POS_EAD_0112 a 3101_CAMP. REG)'!$F$5:$P$231,11,FALSE)</f>
        <v>0.5</v>
      </c>
      <c r="U41" s="73">
        <f>VLOOKUP(L41,'[1]POS_EAD_0112 a 3101_CAMP. REG)'!$F$5:$Q$231,12,FALSE)</f>
        <v>121.2</v>
      </c>
      <c r="W41" s="121" t="s">
        <v>80</v>
      </c>
      <c r="X41" s="69" t="s">
        <v>19</v>
      </c>
      <c r="Y41" s="69" t="str">
        <f>VLOOKUP(W41,'[1]POS_EAD_0112 a 3101_CAMP. REG)'!$F$231:$G$461,2,FALSE)</f>
        <v>Humanas</v>
      </c>
      <c r="Z41" s="68">
        <f>VLOOKUP(W41,'[1]POS_EAD_0112 a 3101_CAMP. REG)'!$F$231:$H$461,3,FALSE)</f>
        <v>6</v>
      </c>
      <c r="AA41" s="68">
        <f>VLOOKUP(W41,'[1]POS_EAD_0112 a 3101_CAMP. REG)'!$F$231:$I$461,4,FALSE)</f>
        <v>13</v>
      </c>
      <c r="AB41" s="73">
        <f>VLOOKUP(W41,'[1]POS_EAD_0112 a 3101_CAMP. REG)'!$F$231:$J$461,5,FALSE)</f>
        <v>303.42628200000001</v>
      </c>
      <c r="AC41" s="72">
        <f>VLOOKUP(W41,'[1]POS_EAD_0112 a 3101_CAMP. REG)'!$F$231:$L$461,7,FALSE)</f>
        <v>0.45</v>
      </c>
      <c r="AD41" s="73">
        <f>VLOOKUP(W41,'[1]POS_EAD_0112 a 3101_CAMP. REG)'!$F$231:$M$461,8,FALSE)</f>
        <v>150.19999999999999</v>
      </c>
      <c r="AE41" s="72">
        <f>VLOOKUP(W41,'[1]POS_EAD_0112 a 3101_CAMP. REG)'!$F$231:$P$461,11,FALSE)</f>
        <v>0.5</v>
      </c>
      <c r="AF41" s="73">
        <f>VLOOKUP(W41,'[1]POS_EAD_0112 a 3101_CAMP. REG)'!$F$231:$Q$461,12,FALSE)</f>
        <v>136.54</v>
      </c>
      <c r="AH41" s="121" t="s">
        <v>80</v>
      </c>
      <c r="AI41" s="69" t="s">
        <v>19</v>
      </c>
      <c r="AJ41" s="68" t="str">
        <f>VLOOKUP(UNG[[#This Row],[CURSO]],'[1]POS_EAD_0112 a 3101_CAMP. REG)'!$F$463:$G$688,2,FALSE)</f>
        <v>Humanas</v>
      </c>
      <c r="AK41" s="68">
        <f>VLOOKUP(UNG[[#This Row],[CURSO]],'[1]POS_EAD_0112 a 3101_CAMP. REG)'!$F$463:$H$688,3,FALSE)</f>
        <v>6</v>
      </c>
      <c r="AL41" s="68">
        <f>VLOOKUP(UNG[[#This Row],[CURSO]],'[1]POS_EAD_0112 a 3101_CAMP. REG)'!$F$463:$I$688,4,FALSE)</f>
        <v>13</v>
      </c>
      <c r="AM41" s="71">
        <f>VLOOKUP(UNG[[#This Row],[CURSO]],'[1]POS_EAD_0112 a 3101_CAMP. REG)'!$F$463:$J$688,5,FALSE)</f>
        <v>269.33202599999998</v>
      </c>
      <c r="AN41" s="124">
        <f>VLOOKUP(UNG[[#This Row],[CURSO]],'[1]POS_EAD_0112 a 3101_CAMP. REG)'!$F$463:$L$688,7,FALSE)</f>
        <v>0.45</v>
      </c>
      <c r="AO41" s="71">
        <f>VLOOKUP(UNG[[#This Row],[CURSO]],'[1]POS_EAD_0112 a 3101_CAMP. REG)'!$F$463:$M$688,8,FALSE)</f>
        <v>133.32</v>
      </c>
      <c r="AP41" s="124">
        <f>VLOOKUP(UNG[[#This Row],[CURSO]],'[1]POS_EAD_0112 a 3101_CAMP. REG)'!$F$463:$P$688,11,FALSE)</f>
        <v>0.5</v>
      </c>
      <c r="AQ41" s="71">
        <f>VLOOKUP(UNG[[#This Row],[CURSO]],'[1]POS_EAD_0112 a 3101_CAMP. REG)'!$F$463:$Q$688,12,FALSE)</f>
        <v>121.2</v>
      </c>
      <c r="AS41" s="121" t="s">
        <v>80</v>
      </c>
      <c r="AT41" s="69" t="s">
        <v>19</v>
      </c>
      <c r="AU41" s="69" t="str">
        <f>VLOOKUP(UNINASSAU[[#This Row],[CURSO]],'[1]POS_EAD_0112 a 3101_CAMP. REG)'!$F$690:$G$915,2,FALSE)</f>
        <v>Humanas</v>
      </c>
      <c r="AV41" s="69">
        <f>VLOOKUP(UNINASSAU[[#This Row],[CURSO]],'[1]POS_EAD_0112 a 3101_CAMP. REG)'!$F$690:$H$915,3,FALSE)</f>
        <v>6</v>
      </c>
      <c r="AW41" s="69">
        <f>VLOOKUP(UNINASSAU[[#This Row],[CURSO]],'[1]POS_EAD_0112 a 3101_CAMP. REG)'!$F$690:$I$915,4,FALSE)</f>
        <v>13</v>
      </c>
      <c r="AX41" s="73">
        <f>VLOOKUP(UNINASSAU[[#This Row],[CURSO]],'[1]POS_EAD_0112 a 3101_CAMP. REG)'!$F$690:$J$915,5,FALSE)</f>
        <v>269.33202599999998</v>
      </c>
      <c r="AY41" s="72">
        <f>VLOOKUP(UNINASSAU[[#This Row],[CURSO]],'[1]POS_EAD_0112 a 3101_CAMP. REG)'!$F$690:$L$915,7,FALSE)</f>
        <v>0.45</v>
      </c>
      <c r="AZ41" s="73">
        <f>VLOOKUP(UNINASSAU[[#This Row],[CURSO]],'[1]POS_EAD_0112 a 3101_CAMP. REG)'!$F$690:$N$915,8,FALSE)</f>
        <v>133.32</v>
      </c>
      <c r="BA41" s="72">
        <f>VLOOKUP(UNINASSAU[[#This Row],[CURSO]],'[1]POS_EAD_0112 a 3101_CAMP. REG)'!$F$690:$P$915,11,FALSE)</f>
        <v>0.5</v>
      </c>
      <c r="BB41" s="73">
        <f>VLOOKUP(UNINASSAU[[#This Row],[CURSO]],'[1]POS_EAD_0112 a 3101_CAMP. REG)'!$F$690:$Q$915,12,FALSE)</f>
        <v>121.2</v>
      </c>
      <c r="BD41" s="104">
        <v>38</v>
      </c>
      <c r="BE41" s="121" t="s">
        <v>80</v>
      </c>
      <c r="BF41" s="69" t="s">
        <v>19</v>
      </c>
    </row>
    <row r="42" spans="12:58" x14ac:dyDescent="0.25">
      <c r="L42" s="121" t="s">
        <v>165</v>
      </c>
      <c r="M42" s="69" t="s">
        <v>19</v>
      </c>
      <c r="N42" s="69" t="str">
        <f>VLOOKUP($L$4,'[1]POS_EAD_0112 a 3101_CAMP. REG)'!$F$5:$G$231,2,FALSE)</f>
        <v>Humanas</v>
      </c>
      <c r="O42" s="69">
        <f>VLOOKUP(L42,'[1]POS_EAD_0112 a 3101_CAMP. REG)'!$F$5:$H$231,3,FALSE)</f>
        <v>6</v>
      </c>
      <c r="P42" s="68">
        <f>VLOOKUP(L42,'[1]POS_EAD_0112 a 3101_CAMP. REG)'!$F$5:$I$231,4,FALSE)</f>
        <v>13</v>
      </c>
      <c r="Q42" s="73">
        <f>VLOOKUP(L42,'[1]POS_EAD_0112 a 3101_CAMP. REG)'!$F$5:$J$231,5,FALSE)</f>
        <v>405.70905000000005</v>
      </c>
      <c r="R42" s="124">
        <f>VLOOKUP(L42,'[1]POS_EAD_0112 a 3101_CAMP. REG)'!$F$5:$L$231,7,FALSE)</f>
        <v>0.45</v>
      </c>
      <c r="S42" s="73">
        <f>VLOOKUP(L42,'[1]POS_EAD_0112 a 3101_CAMP. REG)'!$F$5:$M$231,8,FALSE)</f>
        <v>200.83</v>
      </c>
      <c r="T42" s="124">
        <f>VLOOKUP(L42,'[1]POS_EAD_0112 a 3101_CAMP. REG)'!$F$5:$P$231,11,FALSE)</f>
        <v>0.5</v>
      </c>
      <c r="U42" s="73">
        <f>VLOOKUP(L42,'[1]POS_EAD_0112 a 3101_CAMP. REG)'!$F$5:$Q$231,12,FALSE)</f>
        <v>182.57</v>
      </c>
      <c r="W42" s="121" t="s">
        <v>165</v>
      </c>
      <c r="X42" s="69" t="s">
        <v>19</v>
      </c>
      <c r="Y42" s="69" t="str">
        <f>VLOOKUP(W42,'[1]POS_EAD_0112 a 3101_CAMP. REG)'!$F$231:$G$461,2,FALSE)</f>
        <v>Saúde</v>
      </c>
      <c r="Z42" s="68">
        <f>VLOOKUP(W42,'[1]POS_EAD_0112 a 3101_CAMP. REG)'!$F$231:$H$461,3,FALSE)</f>
        <v>6</v>
      </c>
      <c r="AA42" s="68">
        <f>VLOOKUP(W42,'[1]POS_EAD_0112 a 3101_CAMP. REG)'!$F$231:$I$461,4,FALSE)</f>
        <v>13</v>
      </c>
      <c r="AB42" s="73">
        <f>VLOOKUP(W42,'[1]POS_EAD_0112 a 3101_CAMP. REG)'!$F$231:$J$461,5,FALSE)</f>
        <v>439.79280900000003</v>
      </c>
      <c r="AC42" s="72">
        <f>VLOOKUP(W42,'[1]POS_EAD_0112 a 3101_CAMP. REG)'!$F$231:$L$461,7,FALSE)</f>
        <v>0.45</v>
      </c>
      <c r="AD42" s="73">
        <f>VLOOKUP(W42,'[1]POS_EAD_0112 a 3101_CAMP. REG)'!$F$231:$M$461,8,FALSE)</f>
        <v>217.7</v>
      </c>
      <c r="AE42" s="72">
        <f>VLOOKUP(W42,'[1]POS_EAD_0112 a 3101_CAMP. REG)'!$F$231:$P$461,11,FALSE)</f>
        <v>0.5</v>
      </c>
      <c r="AF42" s="73">
        <f>VLOOKUP(W42,'[1]POS_EAD_0112 a 3101_CAMP. REG)'!$F$231:$Q$461,12,FALSE)</f>
        <v>197.91</v>
      </c>
      <c r="AH42" s="121" t="s">
        <v>165</v>
      </c>
      <c r="AI42" s="69" t="s">
        <v>19</v>
      </c>
      <c r="AJ42" s="68" t="str">
        <f>VLOOKUP(UNG[[#This Row],[CURSO]],'[1]POS_EAD_0112 a 3101_CAMP. REG)'!$F$463:$G$688,2,FALSE)</f>
        <v>Saúde</v>
      </c>
      <c r="AK42" s="68">
        <f>VLOOKUP(UNG[[#This Row],[CURSO]],'[1]POS_EAD_0112 a 3101_CAMP. REG)'!$F$463:$H$688,3,FALSE)</f>
        <v>6</v>
      </c>
      <c r="AL42" s="68">
        <f>VLOOKUP(UNG[[#This Row],[CURSO]],'[1]POS_EAD_0112 a 3101_CAMP. REG)'!$F$463:$I$688,4,FALSE)</f>
        <v>13</v>
      </c>
      <c r="AM42" s="71">
        <f>VLOOKUP(UNG[[#This Row],[CURSO]],'[1]POS_EAD_0112 a 3101_CAMP. REG)'!$F$463:$J$688,5,FALSE)</f>
        <v>405.70905000000005</v>
      </c>
      <c r="AN42" s="124">
        <f>VLOOKUP(UNG[[#This Row],[CURSO]],'[1]POS_EAD_0112 a 3101_CAMP. REG)'!$F$463:$L$688,7,FALSE)</f>
        <v>0.45</v>
      </c>
      <c r="AO42" s="71">
        <f>VLOOKUP(UNG[[#This Row],[CURSO]],'[1]POS_EAD_0112 a 3101_CAMP. REG)'!$F$463:$M$688,8,FALSE)</f>
        <v>200.83</v>
      </c>
      <c r="AP42" s="124">
        <f>VLOOKUP(UNG[[#This Row],[CURSO]],'[1]POS_EAD_0112 a 3101_CAMP. REG)'!$F$463:$P$688,11,FALSE)</f>
        <v>0.5</v>
      </c>
      <c r="AQ42" s="71">
        <f>VLOOKUP(UNG[[#This Row],[CURSO]],'[1]POS_EAD_0112 a 3101_CAMP. REG)'!$F$463:$Q$688,12,FALSE)</f>
        <v>182.57</v>
      </c>
      <c r="AS42" s="121" t="s">
        <v>165</v>
      </c>
      <c r="AT42" s="69" t="s">
        <v>19</v>
      </c>
      <c r="AU42" s="69" t="str">
        <f>VLOOKUP(UNINASSAU[[#This Row],[CURSO]],'[1]POS_EAD_0112 a 3101_CAMP. REG)'!$F$690:$G$915,2,FALSE)</f>
        <v>Saúde</v>
      </c>
      <c r="AV42" s="69">
        <f>VLOOKUP(UNINASSAU[[#This Row],[CURSO]],'[1]POS_EAD_0112 a 3101_CAMP. REG)'!$F$690:$H$915,3,FALSE)</f>
        <v>6</v>
      </c>
      <c r="AW42" s="69">
        <f>VLOOKUP(UNINASSAU[[#This Row],[CURSO]],'[1]POS_EAD_0112 a 3101_CAMP. REG)'!$F$690:$I$915,4,FALSE)</f>
        <v>13</v>
      </c>
      <c r="AX42" s="73">
        <f>VLOOKUP(UNINASSAU[[#This Row],[CURSO]],'[1]POS_EAD_0112 a 3101_CAMP. REG)'!$F$690:$J$915,5,FALSE)</f>
        <v>405.70905000000005</v>
      </c>
      <c r="AY42" s="72">
        <f>VLOOKUP(UNINASSAU[[#This Row],[CURSO]],'[1]POS_EAD_0112 a 3101_CAMP. REG)'!$F$690:$L$915,7,FALSE)</f>
        <v>0.45</v>
      </c>
      <c r="AZ42" s="73">
        <f>VLOOKUP(UNINASSAU[[#This Row],[CURSO]],'[1]POS_EAD_0112 a 3101_CAMP. REG)'!$F$690:$N$915,8,FALSE)</f>
        <v>200.83</v>
      </c>
      <c r="BA42" s="72">
        <f>VLOOKUP(UNINASSAU[[#This Row],[CURSO]],'[1]POS_EAD_0112 a 3101_CAMP. REG)'!$F$690:$P$915,11,FALSE)</f>
        <v>0.5</v>
      </c>
      <c r="BB42" s="73">
        <f>VLOOKUP(UNINASSAU[[#This Row],[CURSO]],'[1]POS_EAD_0112 a 3101_CAMP. REG)'!$F$690:$Q$915,12,FALSE)</f>
        <v>182.57</v>
      </c>
      <c r="BD42" s="104">
        <v>39</v>
      </c>
      <c r="BE42" s="121" t="s">
        <v>165</v>
      </c>
      <c r="BF42" s="69" t="s">
        <v>19</v>
      </c>
    </row>
    <row r="43" spans="12:58" x14ac:dyDescent="0.25">
      <c r="L43" s="121" t="s">
        <v>137</v>
      </c>
      <c r="M43" s="69" t="s">
        <v>19</v>
      </c>
      <c r="N43" s="69" t="str">
        <f>VLOOKUP($L$4,'[1]POS_EAD_0112 a 3101_CAMP. REG)'!$F$5:$G$231,2,FALSE)</f>
        <v>Humanas</v>
      </c>
      <c r="O43" s="69">
        <f>VLOOKUP(L43,'[1]POS_EAD_0112 a 3101_CAMP. REG)'!$F$5:$H$231,3,FALSE)</f>
        <v>12</v>
      </c>
      <c r="P43" s="68">
        <f>VLOOKUP(L43,'[1]POS_EAD_0112 a 3101_CAMP. REG)'!$F$5:$I$231,4,FALSE)</f>
        <v>19</v>
      </c>
      <c r="Q43" s="73">
        <f>VLOOKUP(L43,'[1]POS_EAD_0112 a 3101_CAMP. REG)'!$F$5:$J$231,5,FALSE)</f>
        <v>184.28091221052631</v>
      </c>
      <c r="R43" s="124">
        <f>VLOOKUP(L43,'[1]POS_EAD_0112 a 3101_CAMP. REG)'!$F$5:$L$231,7,FALSE)</f>
        <v>0.45</v>
      </c>
      <c r="S43" s="73">
        <f>VLOOKUP(L43,'[1]POS_EAD_0112 a 3101_CAMP. REG)'!$F$5:$M$231,8,FALSE)</f>
        <v>91.22</v>
      </c>
      <c r="T43" s="124">
        <f>VLOOKUP(L43,'[1]POS_EAD_0112 a 3101_CAMP. REG)'!$F$5:$P$231,11,FALSE)</f>
        <v>0.5</v>
      </c>
      <c r="U43" s="73">
        <f>VLOOKUP(L43,'[1]POS_EAD_0112 a 3101_CAMP. REG)'!$F$5:$Q$231,12,FALSE)</f>
        <v>82.93</v>
      </c>
      <c r="W43" s="121" t="s">
        <v>137</v>
      </c>
      <c r="X43" s="69" t="s">
        <v>19</v>
      </c>
      <c r="Y43" s="69" t="str">
        <f>VLOOKUP(W43,'[1]POS_EAD_0112 a 3101_CAMP. REG)'!$F$231:$G$461,2,FALSE)</f>
        <v>Humanas</v>
      </c>
      <c r="Z43" s="68">
        <f>VLOOKUP(W43,'[1]POS_EAD_0112 a 3101_CAMP. REG)'!$F$231:$H$461,3,FALSE)</f>
        <v>12</v>
      </c>
      <c r="AA43" s="68">
        <f>VLOOKUP(W43,'[1]POS_EAD_0112 a 3101_CAMP. REG)'!$F$231:$I$461,4,FALSE)</f>
        <v>19</v>
      </c>
      <c r="AB43" s="73">
        <f>VLOOKUP(W43,'[1]POS_EAD_0112 a 3101_CAMP. REG)'!$F$231:$J$461,5,FALSE)</f>
        <v>207.609666</v>
      </c>
      <c r="AC43" s="72">
        <f>VLOOKUP(W43,'[1]POS_EAD_0112 a 3101_CAMP. REG)'!$F$231:$L$461,7,FALSE)</f>
        <v>0.45</v>
      </c>
      <c r="AD43" s="73">
        <f>VLOOKUP(W43,'[1]POS_EAD_0112 a 3101_CAMP. REG)'!$F$231:$M$461,8,FALSE)</f>
        <v>102.77</v>
      </c>
      <c r="AE43" s="72">
        <f>VLOOKUP(W43,'[1]POS_EAD_0112 a 3101_CAMP. REG)'!$F$231:$P$461,11,FALSE)</f>
        <v>0.5</v>
      </c>
      <c r="AF43" s="73">
        <f>VLOOKUP(W43,'[1]POS_EAD_0112 a 3101_CAMP. REG)'!$F$231:$Q$461,12,FALSE)</f>
        <v>93.42</v>
      </c>
      <c r="AH43" s="121" t="s">
        <v>137</v>
      </c>
      <c r="AI43" s="69" t="s">
        <v>19</v>
      </c>
      <c r="AJ43" s="68" t="str">
        <f>VLOOKUP(UNG[[#This Row],[CURSO]],'[1]POS_EAD_0112 a 3101_CAMP. REG)'!$F$463:$G$688,2,FALSE)</f>
        <v>Humanas</v>
      </c>
      <c r="AK43" s="68">
        <f>VLOOKUP(UNG[[#This Row],[CURSO]],'[1]POS_EAD_0112 a 3101_CAMP. REG)'!$F$463:$H$688,3,FALSE)</f>
        <v>12</v>
      </c>
      <c r="AL43" s="68">
        <f>VLOOKUP(UNG[[#This Row],[CURSO]],'[1]POS_EAD_0112 a 3101_CAMP. REG)'!$F$463:$I$688,4,FALSE)</f>
        <v>19</v>
      </c>
      <c r="AM43" s="71">
        <f>VLOOKUP(UNG[[#This Row],[CURSO]],'[1]POS_EAD_0112 a 3101_CAMP. REG)'!$F$463:$J$688,5,FALSE)</f>
        <v>184.28091221052631</v>
      </c>
      <c r="AN43" s="124">
        <f>VLOOKUP(UNG[[#This Row],[CURSO]],'[1]POS_EAD_0112 a 3101_CAMP. REG)'!$F$463:$L$688,7,FALSE)</f>
        <v>0.45</v>
      </c>
      <c r="AO43" s="71">
        <f>VLOOKUP(UNG[[#This Row],[CURSO]],'[1]POS_EAD_0112 a 3101_CAMP. REG)'!$F$463:$M$688,8,FALSE)</f>
        <v>91.22</v>
      </c>
      <c r="AP43" s="124">
        <f>VLOOKUP(UNG[[#This Row],[CURSO]],'[1]POS_EAD_0112 a 3101_CAMP. REG)'!$F$463:$P$688,11,FALSE)</f>
        <v>0.5</v>
      </c>
      <c r="AQ43" s="71">
        <f>VLOOKUP(UNG[[#This Row],[CURSO]],'[1]POS_EAD_0112 a 3101_CAMP. REG)'!$F$463:$Q$688,12,FALSE)</f>
        <v>82.93</v>
      </c>
      <c r="AS43" s="121" t="s">
        <v>137</v>
      </c>
      <c r="AT43" s="69" t="s">
        <v>19</v>
      </c>
      <c r="AU43" s="69" t="str">
        <f>VLOOKUP(UNINASSAU[[#This Row],[CURSO]],'[1]POS_EAD_0112 a 3101_CAMP. REG)'!$F$690:$G$915,2,FALSE)</f>
        <v>Humanas</v>
      </c>
      <c r="AV43" s="69">
        <f>VLOOKUP(UNINASSAU[[#This Row],[CURSO]],'[1]POS_EAD_0112 a 3101_CAMP. REG)'!$F$690:$H$915,3,FALSE)</f>
        <v>12</v>
      </c>
      <c r="AW43" s="69">
        <f>VLOOKUP(UNINASSAU[[#This Row],[CURSO]],'[1]POS_EAD_0112 a 3101_CAMP. REG)'!$F$690:$I$915,4,FALSE)</f>
        <v>19</v>
      </c>
      <c r="AX43" s="73">
        <f>VLOOKUP(UNINASSAU[[#This Row],[CURSO]],'[1]POS_EAD_0112 a 3101_CAMP. REG)'!$F$690:$J$915,5,FALSE)</f>
        <v>184.28091221052631</v>
      </c>
      <c r="AY43" s="72">
        <f>VLOOKUP(UNINASSAU[[#This Row],[CURSO]],'[1]POS_EAD_0112 a 3101_CAMP. REG)'!$F$690:$L$915,7,FALSE)</f>
        <v>0.45</v>
      </c>
      <c r="AZ43" s="73">
        <f>VLOOKUP(UNINASSAU[[#This Row],[CURSO]],'[1]POS_EAD_0112 a 3101_CAMP. REG)'!$F$690:$N$915,8,FALSE)</f>
        <v>91.22</v>
      </c>
      <c r="BA43" s="72">
        <f>VLOOKUP(UNINASSAU[[#This Row],[CURSO]],'[1]POS_EAD_0112 a 3101_CAMP. REG)'!$F$690:$P$915,11,FALSE)</f>
        <v>0.5</v>
      </c>
      <c r="BB43" s="73">
        <f>VLOOKUP(UNINASSAU[[#This Row],[CURSO]],'[1]POS_EAD_0112 a 3101_CAMP. REG)'!$F$690:$Q$915,12,FALSE)</f>
        <v>82.93</v>
      </c>
      <c r="BD43" s="104">
        <v>40</v>
      </c>
      <c r="BE43" s="121" t="s">
        <v>137</v>
      </c>
      <c r="BF43" s="69" t="s">
        <v>19</v>
      </c>
    </row>
    <row r="44" spans="12:58" x14ac:dyDescent="0.25">
      <c r="L44" s="121" t="s">
        <v>49</v>
      </c>
      <c r="M44" s="69" t="s">
        <v>19</v>
      </c>
      <c r="N44" s="69" t="str">
        <f>VLOOKUP($L$4,'[1]POS_EAD_0112 a 3101_CAMP. REG)'!$F$5:$G$231,2,FALSE)</f>
        <v>Humanas</v>
      </c>
      <c r="O44" s="69">
        <f>VLOOKUP(L44,'[1]POS_EAD_0112 a 3101_CAMP. REG)'!$F$5:$H$231,3,FALSE)</f>
        <v>6</v>
      </c>
      <c r="P44" s="68">
        <f>VLOOKUP(L44,'[1]POS_EAD_0112 a 3101_CAMP. REG)'!$F$5:$I$231,4,FALSE)</f>
        <v>13</v>
      </c>
      <c r="Q44" s="73">
        <f>VLOOKUP(L44,'[1]POS_EAD_0112 a 3101_CAMP. REG)'!$F$5:$J$231,5,FALSE)</f>
        <v>269.33202599999998</v>
      </c>
      <c r="R44" s="124">
        <f>VLOOKUP(L44,'[1]POS_EAD_0112 a 3101_CAMP. REG)'!$F$5:$L$231,7,FALSE)</f>
        <v>0.45</v>
      </c>
      <c r="S44" s="73">
        <f>VLOOKUP(L44,'[1]POS_EAD_0112 a 3101_CAMP. REG)'!$F$5:$M$231,8,FALSE)</f>
        <v>133.32</v>
      </c>
      <c r="T44" s="124">
        <f>VLOOKUP(L44,'[1]POS_EAD_0112 a 3101_CAMP. REG)'!$F$5:$P$231,11,FALSE)</f>
        <v>0.5</v>
      </c>
      <c r="U44" s="73">
        <f>VLOOKUP(L44,'[1]POS_EAD_0112 a 3101_CAMP. REG)'!$F$5:$Q$231,12,FALSE)</f>
        <v>121.2</v>
      </c>
      <c r="W44" s="121" t="s">
        <v>49</v>
      </c>
      <c r="X44" s="69" t="s">
        <v>19</v>
      </c>
      <c r="Y44" s="69" t="str">
        <f>VLOOKUP(W44,'[1]POS_EAD_0112 a 3101_CAMP. REG)'!$F$231:$G$461,2,FALSE)</f>
        <v>Humanas</v>
      </c>
      <c r="Z44" s="68">
        <f>VLOOKUP(W44,'[1]POS_EAD_0112 a 3101_CAMP. REG)'!$F$231:$H$461,3,FALSE)</f>
        <v>6</v>
      </c>
      <c r="AA44" s="68">
        <f>VLOOKUP(W44,'[1]POS_EAD_0112 a 3101_CAMP. REG)'!$F$231:$I$461,4,FALSE)</f>
        <v>13</v>
      </c>
      <c r="AB44" s="73">
        <f>VLOOKUP(W44,'[1]POS_EAD_0112 a 3101_CAMP. REG)'!$F$231:$J$461,5,FALSE)</f>
        <v>303.42628200000001</v>
      </c>
      <c r="AC44" s="72">
        <f>VLOOKUP(W44,'[1]POS_EAD_0112 a 3101_CAMP. REG)'!$F$231:$L$461,7,FALSE)</f>
        <v>0.45</v>
      </c>
      <c r="AD44" s="73">
        <f>VLOOKUP(W44,'[1]POS_EAD_0112 a 3101_CAMP. REG)'!$F$231:$M$461,8,FALSE)</f>
        <v>150.19999999999999</v>
      </c>
      <c r="AE44" s="72">
        <f>VLOOKUP(W44,'[1]POS_EAD_0112 a 3101_CAMP. REG)'!$F$231:$P$461,11,FALSE)</f>
        <v>0.5</v>
      </c>
      <c r="AF44" s="73">
        <f>VLOOKUP(W44,'[1]POS_EAD_0112 a 3101_CAMP. REG)'!$F$231:$Q$461,12,FALSE)</f>
        <v>136.54</v>
      </c>
      <c r="AH44" s="121" t="s">
        <v>49</v>
      </c>
      <c r="AI44" s="69" t="s">
        <v>19</v>
      </c>
      <c r="AJ44" s="68" t="str">
        <f>VLOOKUP(UNG[[#This Row],[CURSO]],'[1]POS_EAD_0112 a 3101_CAMP. REG)'!$F$463:$G$688,2,FALSE)</f>
        <v>Humanas</v>
      </c>
      <c r="AK44" s="68">
        <f>VLOOKUP(UNG[[#This Row],[CURSO]],'[1]POS_EAD_0112 a 3101_CAMP. REG)'!$F$463:$H$688,3,FALSE)</f>
        <v>6</v>
      </c>
      <c r="AL44" s="68">
        <f>VLOOKUP(UNG[[#This Row],[CURSO]],'[1]POS_EAD_0112 a 3101_CAMP. REG)'!$F$463:$I$688,4,FALSE)</f>
        <v>13</v>
      </c>
      <c r="AM44" s="71">
        <f>VLOOKUP(UNG[[#This Row],[CURSO]],'[1]POS_EAD_0112 a 3101_CAMP. REG)'!$F$463:$J$688,5,FALSE)</f>
        <v>269.33202599999998</v>
      </c>
      <c r="AN44" s="124">
        <f>VLOOKUP(UNG[[#This Row],[CURSO]],'[1]POS_EAD_0112 a 3101_CAMP. REG)'!$F$463:$L$688,7,FALSE)</f>
        <v>0.45</v>
      </c>
      <c r="AO44" s="71">
        <f>VLOOKUP(UNG[[#This Row],[CURSO]],'[1]POS_EAD_0112 a 3101_CAMP. REG)'!$F$463:$M$688,8,FALSE)</f>
        <v>133.32</v>
      </c>
      <c r="AP44" s="124">
        <f>VLOOKUP(UNG[[#This Row],[CURSO]],'[1]POS_EAD_0112 a 3101_CAMP. REG)'!$F$463:$P$688,11,FALSE)</f>
        <v>0.5</v>
      </c>
      <c r="AQ44" s="71">
        <f>VLOOKUP(UNG[[#This Row],[CURSO]],'[1]POS_EAD_0112 a 3101_CAMP. REG)'!$F$463:$Q$688,12,FALSE)</f>
        <v>121.2</v>
      </c>
      <c r="AS44" s="121" t="s">
        <v>49</v>
      </c>
      <c r="AT44" s="69" t="s">
        <v>19</v>
      </c>
      <c r="AU44" s="69" t="str">
        <f>VLOOKUP(UNINASSAU[[#This Row],[CURSO]],'[1]POS_EAD_0112 a 3101_CAMP. REG)'!$F$690:$G$915,2,FALSE)</f>
        <v>Humanas</v>
      </c>
      <c r="AV44" s="69">
        <f>VLOOKUP(UNINASSAU[[#This Row],[CURSO]],'[1]POS_EAD_0112 a 3101_CAMP. REG)'!$F$690:$H$915,3,FALSE)</f>
        <v>6</v>
      </c>
      <c r="AW44" s="69">
        <f>VLOOKUP(UNINASSAU[[#This Row],[CURSO]],'[1]POS_EAD_0112 a 3101_CAMP. REG)'!$F$690:$I$915,4,FALSE)</f>
        <v>13</v>
      </c>
      <c r="AX44" s="73">
        <f>VLOOKUP(UNINASSAU[[#This Row],[CURSO]],'[1]POS_EAD_0112 a 3101_CAMP. REG)'!$F$690:$J$915,5,FALSE)</f>
        <v>269.33202599999998</v>
      </c>
      <c r="AY44" s="72">
        <f>VLOOKUP(UNINASSAU[[#This Row],[CURSO]],'[1]POS_EAD_0112 a 3101_CAMP. REG)'!$F$690:$L$915,7,FALSE)</f>
        <v>0.45</v>
      </c>
      <c r="AZ44" s="73">
        <f>VLOOKUP(UNINASSAU[[#This Row],[CURSO]],'[1]POS_EAD_0112 a 3101_CAMP. REG)'!$F$690:$N$915,8,FALSE)</f>
        <v>133.32</v>
      </c>
      <c r="BA44" s="72">
        <f>VLOOKUP(UNINASSAU[[#This Row],[CURSO]],'[1]POS_EAD_0112 a 3101_CAMP. REG)'!$F$690:$P$915,11,FALSE)</f>
        <v>0.5</v>
      </c>
      <c r="BB44" s="73">
        <f>VLOOKUP(UNINASSAU[[#This Row],[CURSO]],'[1]POS_EAD_0112 a 3101_CAMP. REG)'!$F$690:$Q$915,12,FALSE)</f>
        <v>121.2</v>
      </c>
      <c r="BD44" s="104">
        <v>41</v>
      </c>
      <c r="BE44" s="121" t="s">
        <v>49</v>
      </c>
      <c r="BF44" s="69" t="s">
        <v>19</v>
      </c>
    </row>
    <row r="45" spans="12:58" x14ac:dyDescent="0.25">
      <c r="L45" s="121" t="s">
        <v>52</v>
      </c>
      <c r="M45" s="69" t="s">
        <v>19</v>
      </c>
      <c r="N45" s="69" t="str">
        <f>VLOOKUP($L$4,'[1]POS_EAD_0112 a 3101_CAMP. REG)'!$F$5:$G$231,2,FALSE)</f>
        <v>Humanas</v>
      </c>
      <c r="O45" s="69">
        <f>VLOOKUP(L45,'[1]POS_EAD_0112 a 3101_CAMP. REG)'!$F$5:$H$231,3,FALSE)</f>
        <v>6</v>
      </c>
      <c r="P45" s="68">
        <f>VLOOKUP(L45,'[1]POS_EAD_0112 a 3101_CAMP. REG)'!$F$5:$I$231,4,FALSE)</f>
        <v>13</v>
      </c>
      <c r="Q45" s="73">
        <f>VLOOKUP(L45,'[1]POS_EAD_0112 a 3101_CAMP. REG)'!$F$5:$J$231,5,FALSE)</f>
        <v>269.33202599999998</v>
      </c>
      <c r="R45" s="124">
        <f>VLOOKUP(L45,'[1]POS_EAD_0112 a 3101_CAMP. REG)'!$F$5:$L$231,7,FALSE)</f>
        <v>0.45</v>
      </c>
      <c r="S45" s="73">
        <f>VLOOKUP(L45,'[1]POS_EAD_0112 a 3101_CAMP. REG)'!$F$5:$M$231,8,FALSE)</f>
        <v>133.32</v>
      </c>
      <c r="T45" s="124">
        <f>VLOOKUP(L45,'[1]POS_EAD_0112 a 3101_CAMP. REG)'!$F$5:$P$231,11,FALSE)</f>
        <v>0.5</v>
      </c>
      <c r="U45" s="73">
        <f>VLOOKUP(L45,'[1]POS_EAD_0112 a 3101_CAMP. REG)'!$F$5:$Q$231,12,FALSE)</f>
        <v>121.2</v>
      </c>
      <c r="W45" s="121" t="s">
        <v>52</v>
      </c>
      <c r="X45" s="69" t="s">
        <v>19</v>
      </c>
      <c r="Y45" s="69" t="str">
        <f>VLOOKUP(W45,'[1]POS_EAD_0112 a 3101_CAMP. REG)'!$F$231:$G$461,2,FALSE)</f>
        <v>Exatas</v>
      </c>
      <c r="Z45" s="68">
        <f>VLOOKUP(W45,'[1]POS_EAD_0112 a 3101_CAMP. REG)'!$F$231:$H$461,3,FALSE)</f>
        <v>6</v>
      </c>
      <c r="AA45" s="68">
        <f>VLOOKUP(W45,'[1]POS_EAD_0112 a 3101_CAMP. REG)'!$F$231:$I$461,4,FALSE)</f>
        <v>13</v>
      </c>
      <c r="AB45" s="73">
        <f>VLOOKUP(W45,'[1]POS_EAD_0112 a 3101_CAMP. REG)'!$F$231:$J$461,5,FALSE)</f>
        <v>303.42628200000001</v>
      </c>
      <c r="AC45" s="72">
        <f>VLOOKUP(W45,'[1]POS_EAD_0112 a 3101_CAMP. REG)'!$F$231:$L$461,7,FALSE)</f>
        <v>0.45</v>
      </c>
      <c r="AD45" s="73">
        <f>VLOOKUP(W45,'[1]POS_EAD_0112 a 3101_CAMP. REG)'!$F$231:$M$461,8,FALSE)</f>
        <v>150.19999999999999</v>
      </c>
      <c r="AE45" s="72">
        <f>VLOOKUP(W45,'[1]POS_EAD_0112 a 3101_CAMP. REG)'!$F$231:$P$461,11,FALSE)</f>
        <v>0.5</v>
      </c>
      <c r="AF45" s="73">
        <f>VLOOKUP(W45,'[1]POS_EAD_0112 a 3101_CAMP. REG)'!$F$231:$Q$461,12,FALSE)</f>
        <v>136.54</v>
      </c>
      <c r="AH45" s="121" t="s">
        <v>52</v>
      </c>
      <c r="AI45" s="69" t="s">
        <v>19</v>
      </c>
      <c r="AJ45" s="68" t="str">
        <f>VLOOKUP(UNG[[#This Row],[CURSO]],'[1]POS_EAD_0112 a 3101_CAMP. REG)'!$F$463:$G$688,2,FALSE)</f>
        <v>Exatas</v>
      </c>
      <c r="AK45" s="68">
        <f>VLOOKUP(UNG[[#This Row],[CURSO]],'[1]POS_EAD_0112 a 3101_CAMP. REG)'!$F$463:$H$688,3,FALSE)</f>
        <v>6</v>
      </c>
      <c r="AL45" s="68">
        <f>VLOOKUP(UNG[[#This Row],[CURSO]],'[1]POS_EAD_0112 a 3101_CAMP. REG)'!$F$463:$I$688,4,FALSE)</f>
        <v>13</v>
      </c>
      <c r="AM45" s="71">
        <f>VLOOKUP(UNG[[#This Row],[CURSO]],'[1]POS_EAD_0112 a 3101_CAMP. REG)'!$F$463:$J$688,5,FALSE)</f>
        <v>269.33202599999998</v>
      </c>
      <c r="AN45" s="124">
        <f>VLOOKUP(UNG[[#This Row],[CURSO]],'[1]POS_EAD_0112 a 3101_CAMP. REG)'!$F$463:$L$688,7,FALSE)</f>
        <v>0.45</v>
      </c>
      <c r="AO45" s="71">
        <f>VLOOKUP(UNG[[#This Row],[CURSO]],'[1]POS_EAD_0112 a 3101_CAMP. REG)'!$F$463:$M$688,8,FALSE)</f>
        <v>133.32</v>
      </c>
      <c r="AP45" s="124">
        <f>VLOOKUP(UNG[[#This Row],[CURSO]],'[1]POS_EAD_0112 a 3101_CAMP. REG)'!$F$463:$P$688,11,FALSE)</f>
        <v>0.5</v>
      </c>
      <c r="AQ45" s="71">
        <f>VLOOKUP(UNG[[#This Row],[CURSO]],'[1]POS_EAD_0112 a 3101_CAMP. REG)'!$F$463:$Q$688,12,FALSE)</f>
        <v>121.2</v>
      </c>
      <c r="AS45" s="121" t="s">
        <v>52</v>
      </c>
      <c r="AT45" s="69" t="s">
        <v>19</v>
      </c>
      <c r="AU45" s="69" t="str">
        <f>VLOOKUP(UNINASSAU[[#This Row],[CURSO]],'[1]POS_EAD_0112 a 3101_CAMP. REG)'!$F$690:$G$915,2,FALSE)</f>
        <v>Exatas</v>
      </c>
      <c r="AV45" s="69">
        <f>VLOOKUP(UNINASSAU[[#This Row],[CURSO]],'[1]POS_EAD_0112 a 3101_CAMP. REG)'!$F$690:$H$915,3,FALSE)</f>
        <v>6</v>
      </c>
      <c r="AW45" s="69">
        <f>VLOOKUP(UNINASSAU[[#This Row],[CURSO]],'[1]POS_EAD_0112 a 3101_CAMP. REG)'!$F$690:$I$915,4,FALSE)</f>
        <v>13</v>
      </c>
      <c r="AX45" s="73">
        <f>VLOOKUP(UNINASSAU[[#This Row],[CURSO]],'[1]POS_EAD_0112 a 3101_CAMP. REG)'!$F$690:$J$915,5,FALSE)</f>
        <v>269.33202599999998</v>
      </c>
      <c r="AY45" s="72">
        <f>VLOOKUP(UNINASSAU[[#This Row],[CURSO]],'[1]POS_EAD_0112 a 3101_CAMP. REG)'!$F$690:$L$915,7,FALSE)</f>
        <v>0.45</v>
      </c>
      <c r="AZ45" s="73">
        <f>VLOOKUP(UNINASSAU[[#This Row],[CURSO]],'[1]POS_EAD_0112 a 3101_CAMP. REG)'!$F$690:$N$915,8,FALSE)</f>
        <v>133.32</v>
      </c>
      <c r="BA45" s="72">
        <f>VLOOKUP(UNINASSAU[[#This Row],[CURSO]],'[1]POS_EAD_0112 a 3101_CAMP. REG)'!$F$690:$P$915,11,FALSE)</f>
        <v>0.5</v>
      </c>
      <c r="BB45" s="73">
        <f>VLOOKUP(UNINASSAU[[#This Row],[CURSO]],'[1]POS_EAD_0112 a 3101_CAMP. REG)'!$F$690:$Q$915,12,FALSE)</f>
        <v>121.2</v>
      </c>
      <c r="BD45" s="104">
        <v>42</v>
      </c>
      <c r="BE45" s="121" t="s">
        <v>52</v>
      </c>
      <c r="BF45" s="69" t="s">
        <v>19</v>
      </c>
    </row>
    <row r="46" spans="12:58" x14ac:dyDescent="0.25">
      <c r="L46" s="121" t="s">
        <v>191</v>
      </c>
      <c r="M46" s="69" t="s">
        <v>19</v>
      </c>
      <c r="N46" s="69" t="str">
        <f>VLOOKUP($L$4,'[1]POS_EAD_0112 a 3101_CAMP. REG)'!$F$5:$G$231,2,FALSE)</f>
        <v>Humanas</v>
      </c>
      <c r="O46" s="69">
        <f>VLOOKUP(L46,'[1]POS_EAD_0112 a 3101_CAMP. REG)'!$F$5:$H$231,3,FALSE)</f>
        <v>6</v>
      </c>
      <c r="P46" s="68">
        <f>VLOOKUP(L46,'[1]POS_EAD_0112 a 3101_CAMP. REG)'!$F$5:$I$231,4,FALSE)</f>
        <v>13</v>
      </c>
      <c r="Q46" s="73">
        <f>VLOOKUP(L46,'[1]POS_EAD_0112 a 3101_CAMP. REG)'!$F$5:$J$231,5,FALSE)</f>
        <v>405.70905000000005</v>
      </c>
      <c r="R46" s="124">
        <f>VLOOKUP(L46,'[1]POS_EAD_0112 a 3101_CAMP. REG)'!$F$5:$L$231,7,FALSE)</f>
        <v>0.45</v>
      </c>
      <c r="S46" s="73">
        <f>VLOOKUP(L46,'[1]POS_EAD_0112 a 3101_CAMP. REG)'!$F$5:$M$231,8,FALSE)</f>
        <v>200.83</v>
      </c>
      <c r="T46" s="124">
        <f>VLOOKUP(L46,'[1]POS_EAD_0112 a 3101_CAMP. REG)'!$F$5:$P$231,11,FALSE)</f>
        <v>0.5</v>
      </c>
      <c r="U46" s="73">
        <f>VLOOKUP(L46,'[1]POS_EAD_0112 a 3101_CAMP. REG)'!$F$5:$Q$231,12,FALSE)</f>
        <v>182.57</v>
      </c>
      <c r="W46" s="121" t="s">
        <v>191</v>
      </c>
      <c r="X46" s="69" t="s">
        <v>19</v>
      </c>
      <c r="Y46" s="69" t="str">
        <f>VLOOKUP(W46,'[1]POS_EAD_0112 a 3101_CAMP. REG)'!$F$231:$G$461,2,FALSE)</f>
        <v>Saúde</v>
      </c>
      <c r="Z46" s="68">
        <f>VLOOKUP(W46,'[1]POS_EAD_0112 a 3101_CAMP. REG)'!$F$231:$H$461,3,FALSE)</f>
        <v>6</v>
      </c>
      <c r="AA46" s="68">
        <f>VLOOKUP(W46,'[1]POS_EAD_0112 a 3101_CAMP. REG)'!$F$231:$I$461,4,FALSE)</f>
        <v>13</v>
      </c>
      <c r="AB46" s="73">
        <f>VLOOKUP(W46,'[1]POS_EAD_0112 a 3101_CAMP. REG)'!$F$231:$J$461,5,FALSE)</f>
        <v>439.79280900000003</v>
      </c>
      <c r="AC46" s="72">
        <f>VLOOKUP(W46,'[1]POS_EAD_0112 a 3101_CAMP. REG)'!$F$231:$L$461,7,FALSE)</f>
        <v>0.45</v>
      </c>
      <c r="AD46" s="73">
        <f>VLOOKUP(W46,'[1]POS_EAD_0112 a 3101_CAMP. REG)'!$F$231:$M$461,8,FALSE)</f>
        <v>217.7</v>
      </c>
      <c r="AE46" s="72">
        <f>VLOOKUP(W46,'[1]POS_EAD_0112 a 3101_CAMP. REG)'!$F$231:$P$461,11,FALSE)</f>
        <v>0.5</v>
      </c>
      <c r="AF46" s="73">
        <f>VLOOKUP(W46,'[1]POS_EAD_0112 a 3101_CAMP. REG)'!$F$231:$Q$461,12,FALSE)</f>
        <v>197.91</v>
      </c>
      <c r="AH46" s="121" t="s">
        <v>191</v>
      </c>
      <c r="AI46" s="69" t="s">
        <v>19</v>
      </c>
      <c r="AJ46" s="68" t="str">
        <f>VLOOKUP(UNG[[#This Row],[CURSO]],'[1]POS_EAD_0112 a 3101_CAMP. REG)'!$F$463:$G$688,2,FALSE)</f>
        <v>Saúde</v>
      </c>
      <c r="AK46" s="68">
        <f>VLOOKUP(UNG[[#This Row],[CURSO]],'[1]POS_EAD_0112 a 3101_CAMP. REG)'!$F$463:$H$688,3,FALSE)</f>
        <v>6</v>
      </c>
      <c r="AL46" s="68">
        <f>VLOOKUP(UNG[[#This Row],[CURSO]],'[1]POS_EAD_0112 a 3101_CAMP. REG)'!$F$463:$I$688,4,FALSE)</f>
        <v>13</v>
      </c>
      <c r="AM46" s="71">
        <f>VLOOKUP(UNG[[#This Row],[CURSO]],'[1]POS_EAD_0112 a 3101_CAMP. REG)'!$F$463:$J$688,5,FALSE)</f>
        <v>405.70905000000005</v>
      </c>
      <c r="AN46" s="124">
        <f>VLOOKUP(UNG[[#This Row],[CURSO]],'[1]POS_EAD_0112 a 3101_CAMP. REG)'!$F$463:$L$688,7,FALSE)</f>
        <v>0.45</v>
      </c>
      <c r="AO46" s="71">
        <f>VLOOKUP(UNG[[#This Row],[CURSO]],'[1]POS_EAD_0112 a 3101_CAMP. REG)'!$F$463:$M$688,8,FALSE)</f>
        <v>200.83</v>
      </c>
      <c r="AP46" s="124">
        <f>VLOOKUP(UNG[[#This Row],[CURSO]],'[1]POS_EAD_0112 a 3101_CAMP. REG)'!$F$463:$P$688,11,FALSE)</f>
        <v>0.5</v>
      </c>
      <c r="AQ46" s="71">
        <f>VLOOKUP(UNG[[#This Row],[CURSO]],'[1]POS_EAD_0112 a 3101_CAMP. REG)'!$F$463:$Q$688,12,FALSE)</f>
        <v>182.57</v>
      </c>
      <c r="AS46" s="121" t="s">
        <v>191</v>
      </c>
      <c r="AT46" s="69" t="s">
        <v>19</v>
      </c>
      <c r="AU46" s="69" t="str">
        <f>VLOOKUP(UNINASSAU[[#This Row],[CURSO]],'[1]POS_EAD_0112 a 3101_CAMP. REG)'!$F$690:$G$915,2,FALSE)</f>
        <v>Saúde</v>
      </c>
      <c r="AV46" s="69">
        <f>VLOOKUP(UNINASSAU[[#This Row],[CURSO]],'[1]POS_EAD_0112 a 3101_CAMP. REG)'!$F$690:$H$915,3,FALSE)</f>
        <v>6</v>
      </c>
      <c r="AW46" s="69">
        <f>VLOOKUP(UNINASSAU[[#This Row],[CURSO]],'[1]POS_EAD_0112 a 3101_CAMP. REG)'!$F$690:$I$915,4,FALSE)</f>
        <v>13</v>
      </c>
      <c r="AX46" s="73">
        <f>VLOOKUP(UNINASSAU[[#This Row],[CURSO]],'[1]POS_EAD_0112 a 3101_CAMP. REG)'!$F$690:$J$915,5,FALSE)</f>
        <v>405.70905000000005</v>
      </c>
      <c r="AY46" s="72">
        <f>VLOOKUP(UNINASSAU[[#This Row],[CURSO]],'[1]POS_EAD_0112 a 3101_CAMP. REG)'!$F$690:$L$915,7,FALSE)</f>
        <v>0.45</v>
      </c>
      <c r="AZ46" s="73">
        <f>VLOOKUP(UNINASSAU[[#This Row],[CURSO]],'[1]POS_EAD_0112 a 3101_CAMP. REG)'!$F$690:$N$915,8,FALSE)</f>
        <v>200.83</v>
      </c>
      <c r="BA46" s="72">
        <f>VLOOKUP(UNINASSAU[[#This Row],[CURSO]],'[1]POS_EAD_0112 a 3101_CAMP. REG)'!$F$690:$P$915,11,FALSE)</f>
        <v>0.5</v>
      </c>
      <c r="BB46" s="73">
        <f>VLOOKUP(UNINASSAU[[#This Row],[CURSO]],'[1]POS_EAD_0112 a 3101_CAMP. REG)'!$F$690:$Q$915,12,FALSE)</f>
        <v>182.57</v>
      </c>
      <c r="BD46" s="104">
        <v>43</v>
      </c>
      <c r="BE46" s="121" t="s">
        <v>191</v>
      </c>
      <c r="BF46" s="69" t="s">
        <v>19</v>
      </c>
    </row>
    <row r="47" spans="12:58" x14ac:dyDescent="0.25">
      <c r="L47" s="121" t="s">
        <v>190</v>
      </c>
      <c r="M47" s="69" t="s">
        <v>19</v>
      </c>
      <c r="N47" s="69" t="str">
        <f>VLOOKUP($L$4,'[1]POS_EAD_0112 a 3101_CAMP. REG)'!$F$5:$G$231,2,FALSE)</f>
        <v>Humanas</v>
      </c>
      <c r="O47" s="69">
        <f>VLOOKUP(L47,'[1]POS_EAD_0112 a 3101_CAMP. REG)'!$F$5:$H$231,3,FALSE)</f>
        <v>6</v>
      </c>
      <c r="P47" s="68">
        <f>VLOOKUP(L47,'[1]POS_EAD_0112 a 3101_CAMP. REG)'!$F$5:$I$231,4,FALSE)</f>
        <v>13</v>
      </c>
      <c r="Q47" s="73">
        <f>VLOOKUP(L47,'[1]POS_EAD_0112 a 3101_CAMP. REG)'!$F$5:$J$231,5,FALSE)</f>
        <v>405.70905000000005</v>
      </c>
      <c r="R47" s="124">
        <f>VLOOKUP(L47,'[1]POS_EAD_0112 a 3101_CAMP. REG)'!$F$5:$L$231,7,FALSE)</f>
        <v>0.45</v>
      </c>
      <c r="S47" s="73">
        <f>VLOOKUP(L47,'[1]POS_EAD_0112 a 3101_CAMP. REG)'!$F$5:$M$231,8,FALSE)</f>
        <v>200.83</v>
      </c>
      <c r="T47" s="124">
        <f>VLOOKUP(L47,'[1]POS_EAD_0112 a 3101_CAMP. REG)'!$F$5:$P$231,11,FALSE)</f>
        <v>0.5</v>
      </c>
      <c r="U47" s="73">
        <f>VLOOKUP(L47,'[1]POS_EAD_0112 a 3101_CAMP. REG)'!$F$5:$Q$231,12,FALSE)</f>
        <v>182.57</v>
      </c>
      <c r="W47" s="121" t="s">
        <v>190</v>
      </c>
      <c r="X47" s="69" t="s">
        <v>19</v>
      </c>
      <c r="Y47" s="69" t="str">
        <f>VLOOKUP(W47,'[1]POS_EAD_0112 a 3101_CAMP. REG)'!$F$231:$G$461,2,FALSE)</f>
        <v>Saúde</v>
      </c>
      <c r="Z47" s="68">
        <f>VLOOKUP(W47,'[1]POS_EAD_0112 a 3101_CAMP. REG)'!$F$231:$H$461,3,FALSE)</f>
        <v>6</v>
      </c>
      <c r="AA47" s="68">
        <f>VLOOKUP(W47,'[1]POS_EAD_0112 a 3101_CAMP. REG)'!$F$231:$I$461,4,FALSE)</f>
        <v>13</v>
      </c>
      <c r="AB47" s="73">
        <f>VLOOKUP(W47,'[1]POS_EAD_0112 a 3101_CAMP. REG)'!$F$231:$J$461,5,FALSE)</f>
        <v>439.79280900000003</v>
      </c>
      <c r="AC47" s="72">
        <f>VLOOKUP(W47,'[1]POS_EAD_0112 a 3101_CAMP. REG)'!$F$231:$L$461,7,FALSE)</f>
        <v>0.45</v>
      </c>
      <c r="AD47" s="73">
        <f>VLOOKUP(W47,'[1]POS_EAD_0112 a 3101_CAMP. REG)'!$F$231:$M$461,8,FALSE)</f>
        <v>217.7</v>
      </c>
      <c r="AE47" s="72">
        <f>VLOOKUP(W47,'[1]POS_EAD_0112 a 3101_CAMP. REG)'!$F$231:$P$461,11,FALSE)</f>
        <v>0.5</v>
      </c>
      <c r="AF47" s="73">
        <f>VLOOKUP(W47,'[1]POS_EAD_0112 a 3101_CAMP. REG)'!$F$231:$Q$461,12,FALSE)</f>
        <v>197.91</v>
      </c>
      <c r="AH47" s="121" t="s">
        <v>190</v>
      </c>
      <c r="AI47" s="69" t="s">
        <v>19</v>
      </c>
      <c r="AJ47" s="68" t="str">
        <f>VLOOKUP(UNG[[#This Row],[CURSO]],'[1]POS_EAD_0112 a 3101_CAMP. REG)'!$F$463:$G$688,2,FALSE)</f>
        <v>Saúde</v>
      </c>
      <c r="AK47" s="68">
        <f>VLOOKUP(UNG[[#This Row],[CURSO]],'[1]POS_EAD_0112 a 3101_CAMP. REG)'!$F$463:$H$688,3,FALSE)</f>
        <v>6</v>
      </c>
      <c r="AL47" s="68">
        <f>VLOOKUP(UNG[[#This Row],[CURSO]],'[1]POS_EAD_0112 a 3101_CAMP. REG)'!$F$463:$I$688,4,FALSE)</f>
        <v>13</v>
      </c>
      <c r="AM47" s="71">
        <f>VLOOKUP(UNG[[#This Row],[CURSO]],'[1]POS_EAD_0112 a 3101_CAMP. REG)'!$F$463:$J$688,5,FALSE)</f>
        <v>405.70905000000005</v>
      </c>
      <c r="AN47" s="124">
        <f>VLOOKUP(UNG[[#This Row],[CURSO]],'[1]POS_EAD_0112 a 3101_CAMP. REG)'!$F$463:$L$688,7,FALSE)</f>
        <v>0.45</v>
      </c>
      <c r="AO47" s="71">
        <f>VLOOKUP(UNG[[#This Row],[CURSO]],'[1]POS_EAD_0112 a 3101_CAMP. REG)'!$F$463:$M$688,8,FALSE)</f>
        <v>200.83</v>
      </c>
      <c r="AP47" s="124">
        <f>VLOOKUP(UNG[[#This Row],[CURSO]],'[1]POS_EAD_0112 a 3101_CAMP. REG)'!$F$463:$P$688,11,FALSE)</f>
        <v>0.5</v>
      </c>
      <c r="AQ47" s="71">
        <f>VLOOKUP(UNG[[#This Row],[CURSO]],'[1]POS_EAD_0112 a 3101_CAMP. REG)'!$F$463:$Q$688,12,FALSE)</f>
        <v>182.57</v>
      </c>
      <c r="AS47" s="121" t="s">
        <v>190</v>
      </c>
      <c r="AT47" s="69" t="s">
        <v>19</v>
      </c>
      <c r="AU47" s="69" t="str">
        <f>VLOOKUP(UNINASSAU[[#This Row],[CURSO]],'[1]POS_EAD_0112 a 3101_CAMP. REG)'!$F$690:$G$915,2,FALSE)</f>
        <v>Saúde</v>
      </c>
      <c r="AV47" s="69">
        <f>VLOOKUP(UNINASSAU[[#This Row],[CURSO]],'[1]POS_EAD_0112 a 3101_CAMP. REG)'!$F$690:$H$915,3,FALSE)</f>
        <v>6</v>
      </c>
      <c r="AW47" s="69">
        <f>VLOOKUP(UNINASSAU[[#This Row],[CURSO]],'[1]POS_EAD_0112 a 3101_CAMP. REG)'!$F$690:$I$915,4,FALSE)</f>
        <v>13</v>
      </c>
      <c r="AX47" s="73">
        <f>VLOOKUP(UNINASSAU[[#This Row],[CURSO]],'[1]POS_EAD_0112 a 3101_CAMP. REG)'!$F$690:$J$915,5,FALSE)</f>
        <v>405.70905000000005</v>
      </c>
      <c r="AY47" s="72">
        <f>VLOOKUP(UNINASSAU[[#This Row],[CURSO]],'[1]POS_EAD_0112 a 3101_CAMP. REG)'!$F$690:$L$915,7,FALSE)</f>
        <v>0.45</v>
      </c>
      <c r="AZ47" s="73">
        <f>VLOOKUP(UNINASSAU[[#This Row],[CURSO]],'[1]POS_EAD_0112 a 3101_CAMP. REG)'!$F$690:$N$915,8,FALSE)</f>
        <v>200.83</v>
      </c>
      <c r="BA47" s="72">
        <f>VLOOKUP(UNINASSAU[[#This Row],[CURSO]],'[1]POS_EAD_0112 a 3101_CAMP. REG)'!$F$690:$P$915,11,FALSE)</f>
        <v>0.5</v>
      </c>
      <c r="BB47" s="73">
        <f>VLOOKUP(UNINASSAU[[#This Row],[CURSO]],'[1]POS_EAD_0112 a 3101_CAMP. REG)'!$F$690:$Q$915,12,FALSE)</f>
        <v>182.57</v>
      </c>
      <c r="BD47" s="104">
        <v>44</v>
      </c>
      <c r="BE47" s="121" t="s">
        <v>190</v>
      </c>
      <c r="BF47" s="69" t="s">
        <v>19</v>
      </c>
    </row>
    <row r="48" spans="12:58" x14ac:dyDescent="0.25">
      <c r="L48" s="121" t="s">
        <v>193</v>
      </c>
      <c r="M48" s="69" t="s">
        <v>19</v>
      </c>
      <c r="N48" s="69" t="str">
        <f>VLOOKUP($L$4,'[1]POS_EAD_0112 a 3101_CAMP. REG)'!$F$5:$G$231,2,FALSE)</f>
        <v>Humanas</v>
      </c>
      <c r="O48" s="69">
        <f>VLOOKUP(L48,'[1]POS_EAD_0112 a 3101_CAMP. REG)'!$F$5:$H$231,3,FALSE)</f>
        <v>6</v>
      </c>
      <c r="P48" s="68">
        <f>VLOOKUP(L48,'[1]POS_EAD_0112 a 3101_CAMP. REG)'!$F$5:$I$231,4,FALSE)</f>
        <v>13</v>
      </c>
      <c r="Q48" s="73">
        <f>VLOOKUP(L48,'[1]POS_EAD_0112 a 3101_CAMP. REG)'!$F$5:$J$231,5,FALSE)</f>
        <v>405.70905000000005</v>
      </c>
      <c r="R48" s="124">
        <f>VLOOKUP(L48,'[1]POS_EAD_0112 a 3101_CAMP. REG)'!$F$5:$L$231,7,FALSE)</f>
        <v>0.45</v>
      </c>
      <c r="S48" s="73">
        <f>VLOOKUP(L48,'[1]POS_EAD_0112 a 3101_CAMP. REG)'!$F$5:$M$231,8,FALSE)</f>
        <v>200.83</v>
      </c>
      <c r="T48" s="124">
        <f>VLOOKUP(L48,'[1]POS_EAD_0112 a 3101_CAMP. REG)'!$F$5:$P$231,11,FALSE)</f>
        <v>0.5</v>
      </c>
      <c r="U48" s="73">
        <f>VLOOKUP(L48,'[1]POS_EAD_0112 a 3101_CAMP. REG)'!$F$5:$Q$231,12,FALSE)</f>
        <v>182.57</v>
      </c>
      <c r="W48" s="121" t="s">
        <v>193</v>
      </c>
      <c r="X48" s="69" t="s">
        <v>19</v>
      </c>
      <c r="Y48" s="69" t="str">
        <f>VLOOKUP(W48,'[1]POS_EAD_0112 a 3101_CAMP. REG)'!$F$231:$G$461,2,FALSE)</f>
        <v>Saúde</v>
      </c>
      <c r="Z48" s="68">
        <f>VLOOKUP(W48,'[1]POS_EAD_0112 a 3101_CAMP. REG)'!$F$231:$H$461,3,FALSE)</f>
        <v>6</v>
      </c>
      <c r="AA48" s="68">
        <f>VLOOKUP(W48,'[1]POS_EAD_0112 a 3101_CAMP. REG)'!$F$231:$I$461,4,FALSE)</f>
        <v>13</v>
      </c>
      <c r="AB48" s="73">
        <f>VLOOKUP(W48,'[1]POS_EAD_0112 a 3101_CAMP. REG)'!$F$231:$J$461,5,FALSE)</f>
        <v>439.79280900000003</v>
      </c>
      <c r="AC48" s="72">
        <f>VLOOKUP(W48,'[1]POS_EAD_0112 a 3101_CAMP. REG)'!$F$231:$L$461,7,FALSE)</f>
        <v>0.45</v>
      </c>
      <c r="AD48" s="73">
        <f>VLOOKUP(W48,'[1]POS_EAD_0112 a 3101_CAMP. REG)'!$F$231:$M$461,8,FALSE)</f>
        <v>217.7</v>
      </c>
      <c r="AE48" s="72">
        <f>VLOOKUP(W48,'[1]POS_EAD_0112 a 3101_CAMP. REG)'!$F$231:$P$461,11,FALSE)</f>
        <v>0.5</v>
      </c>
      <c r="AF48" s="73">
        <f>VLOOKUP(W48,'[1]POS_EAD_0112 a 3101_CAMP. REG)'!$F$231:$Q$461,12,FALSE)</f>
        <v>197.91</v>
      </c>
      <c r="AH48" s="121" t="s">
        <v>193</v>
      </c>
      <c r="AI48" s="69" t="s">
        <v>19</v>
      </c>
      <c r="AJ48" s="68" t="str">
        <f>VLOOKUP(UNG[[#This Row],[CURSO]],'[1]POS_EAD_0112 a 3101_CAMP. REG)'!$F$463:$G$688,2,FALSE)</f>
        <v>Saúde</v>
      </c>
      <c r="AK48" s="68">
        <f>VLOOKUP(UNG[[#This Row],[CURSO]],'[1]POS_EAD_0112 a 3101_CAMP. REG)'!$F$463:$H$688,3,FALSE)</f>
        <v>6</v>
      </c>
      <c r="AL48" s="68">
        <f>VLOOKUP(UNG[[#This Row],[CURSO]],'[1]POS_EAD_0112 a 3101_CAMP. REG)'!$F$463:$I$688,4,FALSE)</f>
        <v>13</v>
      </c>
      <c r="AM48" s="71">
        <f>VLOOKUP(UNG[[#This Row],[CURSO]],'[1]POS_EAD_0112 a 3101_CAMP. REG)'!$F$463:$J$688,5,FALSE)</f>
        <v>405.70905000000005</v>
      </c>
      <c r="AN48" s="124">
        <f>VLOOKUP(UNG[[#This Row],[CURSO]],'[1]POS_EAD_0112 a 3101_CAMP. REG)'!$F$463:$L$688,7,FALSE)</f>
        <v>0.45</v>
      </c>
      <c r="AO48" s="71">
        <f>VLOOKUP(UNG[[#This Row],[CURSO]],'[1]POS_EAD_0112 a 3101_CAMP. REG)'!$F$463:$M$688,8,FALSE)</f>
        <v>200.83</v>
      </c>
      <c r="AP48" s="124">
        <f>VLOOKUP(UNG[[#This Row],[CURSO]],'[1]POS_EAD_0112 a 3101_CAMP. REG)'!$F$463:$P$688,11,FALSE)</f>
        <v>0.5</v>
      </c>
      <c r="AQ48" s="71">
        <f>VLOOKUP(UNG[[#This Row],[CURSO]],'[1]POS_EAD_0112 a 3101_CAMP. REG)'!$F$463:$Q$688,12,FALSE)</f>
        <v>182.57</v>
      </c>
      <c r="AS48" s="121" t="s">
        <v>193</v>
      </c>
      <c r="AT48" s="69" t="s">
        <v>19</v>
      </c>
      <c r="AU48" s="69" t="str">
        <f>VLOOKUP(UNINASSAU[[#This Row],[CURSO]],'[1]POS_EAD_0112 a 3101_CAMP. REG)'!$F$690:$G$915,2,FALSE)</f>
        <v>Saúde</v>
      </c>
      <c r="AV48" s="69">
        <f>VLOOKUP(UNINASSAU[[#This Row],[CURSO]],'[1]POS_EAD_0112 a 3101_CAMP. REG)'!$F$690:$H$915,3,FALSE)</f>
        <v>6</v>
      </c>
      <c r="AW48" s="69">
        <f>VLOOKUP(UNINASSAU[[#This Row],[CURSO]],'[1]POS_EAD_0112 a 3101_CAMP. REG)'!$F$690:$I$915,4,FALSE)</f>
        <v>13</v>
      </c>
      <c r="AX48" s="73">
        <f>VLOOKUP(UNINASSAU[[#This Row],[CURSO]],'[1]POS_EAD_0112 a 3101_CAMP. REG)'!$F$690:$J$915,5,FALSE)</f>
        <v>405.70905000000005</v>
      </c>
      <c r="AY48" s="72">
        <f>VLOOKUP(UNINASSAU[[#This Row],[CURSO]],'[1]POS_EAD_0112 a 3101_CAMP. REG)'!$F$690:$L$915,7,FALSE)</f>
        <v>0.45</v>
      </c>
      <c r="AZ48" s="73">
        <f>VLOOKUP(UNINASSAU[[#This Row],[CURSO]],'[1]POS_EAD_0112 a 3101_CAMP. REG)'!$F$690:$N$915,8,FALSE)</f>
        <v>200.83</v>
      </c>
      <c r="BA48" s="72">
        <f>VLOOKUP(UNINASSAU[[#This Row],[CURSO]],'[1]POS_EAD_0112 a 3101_CAMP. REG)'!$F$690:$P$915,11,FALSE)</f>
        <v>0.5</v>
      </c>
      <c r="BB48" s="73">
        <f>VLOOKUP(UNINASSAU[[#This Row],[CURSO]],'[1]POS_EAD_0112 a 3101_CAMP. REG)'!$F$690:$Q$915,12,FALSE)</f>
        <v>182.57</v>
      </c>
      <c r="BD48" s="104">
        <v>45</v>
      </c>
      <c r="BE48" s="121" t="s">
        <v>193</v>
      </c>
      <c r="BF48" s="69" t="s">
        <v>19</v>
      </c>
    </row>
    <row r="49" spans="12:58" x14ac:dyDescent="0.25">
      <c r="L49" s="121" t="s">
        <v>205</v>
      </c>
      <c r="M49" s="69" t="s">
        <v>19</v>
      </c>
      <c r="N49" s="69" t="str">
        <f>VLOOKUP($L$4,'[1]POS_EAD_0112 a 3101_CAMP. REG)'!$F$5:$G$231,2,FALSE)</f>
        <v>Humanas</v>
      </c>
      <c r="O49" s="69">
        <f>VLOOKUP(L49,'[1]POS_EAD_0112 a 3101_CAMP. REG)'!$F$5:$H$231,3,FALSE)</f>
        <v>6</v>
      </c>
      <c r="P49" s="68">
        <f>VLOOKUP(L49,'[1]POS_EAD_0112 a 3101_CAMP. REG)'!$F$5:$I$231,4,FALSE)</f>
        <v>13</v>
      </c>
      <c r="Q49" s="73">
        <f>VLOOKUP(L49,'[1]POS_EAD_0112 a 3101_CAMP. REG)'!$F$5:$J$231,5,FALSE)</f>
        <v>269.33202599999998</v>
      </c>
      <c r="R49" s="124">
        <f>VLOOKUP(L49,'[1]POS_EAD_0112 a 3101_CAMP. REG)'!$F$5:$L$231,7,FALSE)</f>
        <v>0.45</v>
      </c>
      <c r="S49" s="73">
        <f>VLOOKUP(L49,'[1]POS_EAD_0112 a 3101_CAMP. REG)'!$F$5:$M$231,8,FALSE)</f>
        <v>133.32</v>
      </c>
      <c r="T49" s="124">
        <f>VLOOKUP(L49,'[1]POS_EAD_0112 a 3101_CAMP. REG)'!$F$5:$P$231,11,FALSE)</f>
        <v>0.5</v>
      </c>
      <c r="U49" s="73">
        <f>VLOOKUP(L49,'[1]POS_EAD_0112 a 3101_CAMP. REG)'!$F$5:$Q$231,12,FALSE)</f>
        <v>121.2</v>
      </c>
      <c r="W49" s="121" t="s">
        <v>205</v>
      </c>
      <c r="X49" s="69" t="s">
        <v>19</v>
      </c>
      <c r="Y49" s="69" t="str">
        <f>VLOOKUP(W49,'[1]POS_EAD_0112 a 3101_CAMP. REG)'!$F$231:$G$461,2,FALSE)</f>
        <v>Exatas</v>
      </c>
      <c r="Z49" s="68">
        <f>VLOOKUP(W49,'[1]POS_EAD_0112 a 3101_CAMP. REG)'!$F$231:$H$461,3,FALSE)</f>
        <v>6</v>
      </c>
      <c r="AA49" s="68">
        <f>VLOOKUP(W49,'[1]POS_EAD_0112 a 3101_CAMP. REG)'!$F$231:$I$461,4,FALSE)</f>
        <v>13</v>
      </c>
      <c r="AB49" s="73">
        <f>VLOOKUP(W49,'[1]POS_EAD_0112 a 3101_CAMP. REG)'!$F$231:$J$461,5,FALSE)</f>
        <v>303.42628200000001</v>
      </c>
      <c r="AC49" s="72">
        <f>VLOOKUP(W49,'[1]POS_EAD_0112 a 3101_CAMP. REG)'!$F$231:$L$461,7,FALSE)</f>
        <v>0.45</v>
      </c>
      <c r="AD49" s="73">
        <f>VLOOKUP(W49,'[1]POS_EAD_0112 a 3101_CAMP. REG)'!$F$231:$M$461,8,FALSE)</f>
        <v>150.19999999999999</v>
      </c>
      <c r="AE49" s="72">
        <f>VLOOKUP(W49,'[1]POS_EAD_0112 a 3101_CAMP. REG)'!$F$231:$P$461,11,FALSE)</f>
        <v>0.5</v>
      </c>
      <c r="AF49" s="73">
        <f>VLOOKUP(W49,'[1]POS_EAD_0112 a 3101_CAMP. REG)'!$F$231:$Q$461,12,FALSE)</f>
        <v>136.54</v>
      </c>
      <c r="AH49" s="121" t="s">
        <v>205</v>
      </c>
      <c r="AI49" s="69" t="s">
        <v>19</v>
      </c>
      <c r="AJ49" s="68" t="str">
        <f>VLOOKUP(UNG[[#This Row],[CURSO]],'[1]POS_EAD_0112 a 3101_CAMP. REG)'!$F$463:$G$688,2,FALSE)</f>
        <v>Exatas</v>
      </c>
      <c r="AK49" s="68">
        <f>VLOOKUP(UNG[[#This Row],[CURSO]],'[1]POS_EAD_0112 a 3101_CAMP. REG)'!$F$463:$H$688,3,FALSE)</f>
        <v>6</v>
      </c>
      <c r="AL49" s="68">
        <f>VLOOKUP(UNG[[#This Row],[CURSO]],'[1]POS_EAD_0112 a 3101_CAMP. REG)'!$F$463:$I$688,4,FALSE)</f>
        <v>13</v>
      </c>
      <c r="AM49" s="71">
        <f>VLOOKUP(UNG[[#This Row],[CURSO]],'[1]POS_EAD_0112 a 3101_CAMP. REG)'!$F$463:$J$688,5,FALSE)</f>
        <v>269.33202599999998</v>
      </c>
      <c r="AN49" s="124">
        <f>VLOOKUP(UNG[[#This Row],[CURSO]],'[1]POS_EAD_0112 a 3101_CAMP. REG)'!$F$463:$L$688,7,FALSE)</f>
        <v>0.45</v>
      </c>
      <c r="AO49" s="71">
        <f>VLOOKUP(UNG[[#This Row],[CURSO]],'[1]POS_EAD_0112 a 3101_CAMP. REG)'!$F$463:$M$688,8,FALSE)</f>
        <v>133.32</v>
      </c>
      <c r="AP49" s="124">
        <f>VLOOKUP(UNG[[#This Row],[CURSO]],'[1]POS_EAD_0112 a 3101_CAMP. REG)'!$F$463:$P$688,11,FALSE)</f>
        <v>0.5</v>
      </c>
      <c r="AQ49" s="71">
        <f>VLOOKUP(UNG[[#This Row],[CURSO]],'[1]POS_EAD_0112 a 3101_CAMP. REG)'!$F$463:$Q$688,12,FALSE)</f>
        <v>121.2</v>
      </c>
      <c r="AS49" s="121" t="s">
        <v>205</v>
      </c>
      <c r="AT49" s="69" t="s">
        <v>19</v>
      </c>
      <c r="AU49" s="69" t="str">
        <f>VLOOKUP(UNINASSAU[[#This Row],[CURSO]],'[1]POS_EAD_0112 a 3101_CAMP. REG)'!$F$690:$G$915,2,FALSE)</f>
        <v>Exatas</v>
      </c>
      <c r="AV49" s="69">
        <f>VLOOKUP(UNINASSAU[[#This Row],[CURSO]],'[1]POS_EAD_0112 a 3101_CAMP. REG)'!$F$690:$H$915,3,FALSE)</f>
        <v>6</v>
      </c>
      <c r="AW49" s="69">
        <f>VLOOKUP(UNINASSAU[[#This Row],[CURSO]],'[1]POS_EAD_0112 a 3101_CAMP. REG)'!$F$690:$I$915,4,FALSE)</f>
        <v>13</v>
      </c>
      <c r="AX49" s="73">
        <f>VLOOKUP(UNINASSAU[[#This Row],[CURSO]],'[1]POS_EAD_0112 a 3101_CAMP. REG)'!$F$690:$J$915,5,FALSE)</f>
        <v>269.33202599999998</v>
      </c>
      <c r="AY49" s="72">
        <f>VLOOKUP(UNINASSAU[[#This Row],[CURSO]],'[1]POS_EAD_0112 a 3101_CAMP. REG)'!$F$690:$L$915,7,FALSE)</f>
        <v>0.45</v>
      </c>
      <c r="AZ49" s="73">
        <f>VLOOKUP(UNINASSAU[[#This Row],[CURSO]],'[1]POS_EAD_0112 a 3101_CAMP. REG)'!$F$690:$N$915,8,FALSE)</f>
        <v>133.32</v>
      </c>
      <c r="BA49" s="72">
        <f>VLOOKUP(UNINASSAU[[#This Row],[CURSO]],'[1]POS_EAD_0112 a 3101_CAMP. REG)'!$F$690:$P$915,11,FALSE)</f>
        <v>0.5</v>
      </c>
      <c r="BB49" s="73">
        <f>VLOOKUP(UNINASSAU[[#This Row],[CURSO]],'[1]POS_EAD_0112 a 3101_CAMP. REG)'!$F$690:$Q$915,12,FALSE)</f>
        <v>121.2</v>
      </c>
      <c r="BD49" s="104">
        <v>46</v>
      </c>
      <c r="BE49" s="121" t="s">
        <v>205</v>
      </c>
      <c r="BF49" s="69" t="s">
        <v>19</v>
      </c>
    </row>
    <row r="50" spans="12:58" x14ac:dyDescent="0.25">
      <c r="L50" s="121" t="s">
        <v>213</v>
      </c>
      <c r="M50" s="69" t="s">
        <v>19</v>
      </c>
      <c r="N50" s="69" t="str">
        <f>VLOOKUP($L$4,'[1]POS_EAD_0112 a 3101_CAMP. REG)'!$F$5:$G$231,2,FALSE)</f>
        <v>Humanas</v>
      </c>
      <c r="O50" s="69">
        <f>VLOOKUP(L50,'[1]POS_EAD_0112 a 3101_CAMP. REG)'!$F$5:$H$231,3,FALSE)</f>
        <v>6</v>
      </c>
      <c r="P50" s="68">
        <f>VLOOKUP(L50,'[1]POS_EAD_0112 a 3101_CAMP. REG)'!$F$5:$I$231,4,FALSE)</f>
        <v>13</v>
      </c>
      <c r="Q50" s="73">
        <f>VLOOKUP(L50,'[1]POS_EAD_0112 a 3101_CAMP. REG)'!$F$5:$J$231,5,FALSE)</f>
        <v>269.33202599999998</v>
      </c>
      <c r="R50" s="124">
        <f>VLOOKUP(L50,'[1]POS_EAD_0112 a 3101_CAMP. REG)'!$F$5:$L$231,7,FALSE)</f>
        <v>0.45</v>
      </c>
      <c r="S50" s="73">
        <f>VLOOKUP(L50,'[1]POS_EAD_0112 a 3101_CAMP. REG)'!$F$5:$M$231,8,FALSE)</f>
        <v>133.32</v>
      </c>
      <c r="T50" s="124">
        <f>VLOOKUP(L50,'[1]POS_EAD_0112 a 3101_CAMP. REG)'!$F$5:$P$231,11,FALSE)</f>
        <v>0.5</v>
      </c>
      <c r="U50" s="73">
        <f>VLOOKUP(L50,'[1]POS_EAD_0112 a 3101_CAMP. REG)'!$F$5:$Q$231,12,FALSE)</f>
        <v>121.2</v>
      </c>
      <c r="W50" s="121" t="s">
        <v>213</v>
      </c>
      <c r="X50" s="69" t="s">
        <v>19</v>
      </c>
      <c r="Y50" s="69" t="str">
        <f>VLOOKUP(W50,'[1]POS_EAD_0112 a 3101_CAMP. REG)'!$F$231:$G$461,2,FALSE)</f>
        <v>Humanas</v>
      </c>
      <c r="Z50" s="68">
        <f>VLOOKUP(W50,'[1]POS_EAD_0112 a 3101_CAMP. REG)'!$F$231:$H$461,3,FALSE)</f>
        <v>6</v>
      </c>
      <c r="AA50" s="68">
        <f>VLOOKUP(W50,'[1]POS_EAD_0112 a 3101_CAMP. REG)'!$F$231:$I$461,4,FALSE)</f>
        <v>13</v>
      </c>
      <c r="AB50" s="73">
        <f>VLOOKUP(W50,'[1]POS_EAD_0112 a 3101_CAMP. REG)'!$F$231:$J$461,5,FALSE)</f>
        <v>303.42628200000001</v>
      </c>
      <c r="AC50" s="72">
        <f>VLOOKUP(W50,'[1]POS_EAD_0112 a 3101_CAMP. REG)'!$F$231:$L$461,7,FALSE)</f>
        <v>0.45</v>
      </c>
      <c r="AD50" s="73">
        <f>VLOOKUP(W50,'[1]POS_EAD_0112 a 3101_CAMP. REG)'!$F$231:$M$461,8,FALSE)</f>
        <v>150.19999999999999</v>
      </c>
      <c r="AE50" s="72">
        <f>VLOOKUP(W50,'[1]POS_EAD_0112 a 3101_CAMP. REG)'!$F$231:$P$461,11,FALSE)</f>
        <v>0.5</v>
      </c>
      <c r="AF50" s="73">
        <f>VLOOKUP(W50,'[1]POS_EAD_0112 a 3101_CAMP. REG)'!$F$231:$Q$461,12,FALSE)</f>
        <v>136.54</v>
      </c>
      <c r="AH50" s="121" t="s">
        <v>213</v>
      </c>
      <c r="AI50" s="69" t="s">
        <v>19</v>
      </c>
      <c r="AJ50" s="68" t="str">
        <f>VLOOKUP(UNG[[#This Row],[CURSO]],'[1]POS_EAD_0112 a 3101_CAMP. REG)'!$F$463:$G$688,2,FALSE)</f>
        <v>Humanas</v>
      </c>
      <c r="AK50" s="68">
        <f>VLOOKUP(UNG[[#This Row],[CURSO]],'[1]POS_EAD_0112 a 3101_CAMP. REG)'!$F$463:$H$688,3,FALSE)</f>
        <v>6</v>
      </c>
      <c r="AL50" s="68">
        <f>VLOOKUP(UNG[[#This Row],[CURSO]],'[1]POS_EAD_0112 a 3101_CAMP. REG)'!$F$463:$I$688,4,FALSE)</f>
        <v>13</v>
      </c>
      <c r="AM50" s="71">
        <f>VLOOKUP(UNG[[#This Row],[CURSO]],'[1]POS_EAD_0112 a 3101_CAMP. REG)'!$F$463:$J$688,5,FALSE)</f>
        <v>269.33202599999998</v>
      </c>
      <c r="AN50" s="124">
        <f>VLOOKUP(UNG[[#This Row],[CURSO]],'[1]POS_EAD_0112 a 3101_CAMP. REG)'!$F$463:$L$688,7,FALSE)</f>
        <v>0.45</v>
      </c>
      <c r="AO50" s="71">
        <f>VLOOKUP(UNG[[#This Row],[CURSO]],'[1]POS_EAD_0112 a 3101_CAMP. REG)'!$F$463:$M$688,8,FALSE)</f>
        <v>133.32</v>
      </c>
      <c r="AP50" s="124">
        <f>VLOOKUP(UNG[[#This Row],[CURSO]],'[1]POS_EAD_0112 a 3101_CAMP. REG)'!$F$463:$P$688,11,FALSE)</f>
        <v>0.5</v>
      </c>
      <c r="AQ50" s="71">
        <f>VLOOKUP(UNG[[#This Row],[CURSO]],'[1]POS_EAD_0112 a 3101_CAMP. REG)'!$F$463:$Q$688,12,FALSE)</f>
        <v>121.2</v>
      </c>
      <c r="AS50" s="121" t="s">
        <v>213</v>
      </c>
      <c r="AT50" s="69" t="s">
        <v>19</v>
      </c>
      <c r="AU50" s="69" t="str">
        <f>VLOOKUP(UNINASSAU[[#This Row],[CURSO]],'[1]POS_EAD_0112 a 3101_CAMP. REG)'!$F$690:$G$915,2,FALSE)</f>
        <v>Humanas</v>
      </c>
      <c r="AV50" s="69">
        <f>VLOOKUP(UNINASSAU[[#This Row],[CURSO]],'[1]POS_EAD_0112 a 3101_CAMP. REG)'!$F$690:$H$915,3,FALSE)</f>
        <v>6</v>
      </c>
      <c r="AW50" s="69">
        <f>VLOOKUP(UNINASSAU[[#This Row],[CURSO]],'[1]POS_EAD_0112 a 3101_CAMP. REG)'!$F$690:$I$915,4,FALSE)</f>
        <v>13</v>
      </c>
      <c r="AX50" s="73">
        <f>VLOOKUP(UNINASSAU[[#This Row],[CURSO]],'[1]POS_EAD_0112 a 3101_CAMP. REG)'!$F$690:$J$915,5,FALSE)</f>
        <v>269.33202599999998</v>
      </c>
      <c r="AY50" s="72">
        <f>VLOOKUP(UNINASSAU[[#This Row],[CURSO]],'[1]POS_EAD_0112 a 3101_CAMP. REG)'!$F$690:$L$915,7,FALSE)</f>
        <v>0.45</v>
      </c>
      <c r="AZ50" s="73">
        <f>VLOOKUP(UNINASSAU[[#This Row],[CURSO]],'[1]POS_EAD_0112 a 3101_CAMP. REG)'!$F$690:$N$915,8,FALSE)</f>
        <v>133.32</v>
      </c>
      <c r="BA50" s="72">
        <f>VLOOKUP(UNINASSAU[[#This Row],[CURSO]],'[1]POS_EAD_0112 a 3101_CAMP. REG)'!$F$690:$P$915,11,FALSE)</f>
        <v>0.5</v>
      </c>
      <c r="BB50" s="73">
        <f>VLOOKUP(UNINASSAU[[#This Row],[CURSO]],'[1]POS_EAD_0112 a 3101_CAMP. REG)'!$F$690:$Q$915,12,FALSE)</f>
        <v>121.2</v>
      </c>
      <c r="BD50" s="104">
        <v>47</v>
      </c>
      <c r="BE50" s="121" t="s">
        <v>213</v>
      </c>
      <c r="BF50" s="69" t="s">
        <v>19</v>
      </c>
    </row>
    <row r="51" spans="12:58" x14ac:dyDescent="0.25">
      <c r="L51" s="121" t="s">
        <v>173</v>
      </c>
      <c r="M51" s="69" t="s">
        <v>19</v>
      </c>
      <c r="N51" s="69" t="str">
        <f>VLOOKUP($L$4,'[1]POS_EAD_0112 a 3101_CAMP. REG)'!$F$5:$G$231,2,FALSE)</f>
        <v>Humanas</v>
      </c>
      <c r="O51" s="69">
        <f>VLOOKUP(L51,'[1]POS_EAD_0112 a 3101_CAMP. REG)'!$F$5:$H$231,3,FALSE)</f>
        <v>6</v>
      </c>
      <c r="P51" s="68">
        <f>VLOOKUP(L51,'[1]POS_EAD_0112 a 3101_CAMP. REG)'!$F$5:$I$231,4,FALSE)</f>
        <v>13</v>
      </c>
      <c r="Q51" s="73">
        <f>VLOOKUP(L51,'[1]POS_EAD_0112 a 3101_CAMP. REG)'!$F$5:$J$231,5,FALSE)</f>
        <v>269.33202599999998</v>
      </c>
      <c r="R51" s="124">
        <f>VLOOKUP(L51,'[1]POS_EAD_0112 a 3101_CAMP. REG)'!$F$5:$L$231,7,FALSE)</f>
        <v>0.45</v>
      </c>
      <c r="S51" s="73">
        <f>VLOOKUP(L51,'[1]POS_EAD_0112 a 3101_CAMP. REG)'!$F$5:$M$231,8,FALSE)</f>
        <v>133.32</v>
      </c>
      <c r="T51" s="124">
        <f>VLOOKUP(L51,'[1]POS_EAD_0112 a 3101_CAMP. REG)'!$F$5:$P$231,11,FALSE)</f>
        <v>0.5</v>
      </c>
      <c r="U51" s="73">
        <f>VLOOKUP(L51,'[1]POS_EAD_0112 a 3101_CAMP. REG)'!$F$5:$Q$231,12,FALSE)</f>
        <v>121.2</v>
      </c>
      <c r="W51" s="121" t="s">
        <v>173</v>
      </c>
      <c r="X51" s="69" t="s">
        <v>19</v>
      </c>
      <c r="Y51" s="69" t="str">
        <f>VLOOKUP(W51,'[1]POS_EAD_0112 a 3101_CAMP. REG)'!$F$231:$G$461,2,FALSE)</f>
        <v>Exatas</v>
      </c>
      <c r="Z51" s="68">
        <f>VLOOKUP(W51,'[1]POS_EAD_0112 a 3101_CAMP. REG)'!$F$231:$H$461,3,FALSE)</f>
        <v>6</v>
      </c>
      <c r="AA51" s="68">
        <f>VLOOKUP(W51,'[1]POS_EAD_0112 a 3101_CAMP. REG)'!$F$231:$I$461,4,FALSE)</f>
        <v>13</v>
      </c>
      <c r="AB51" s="73">
        <f>VLOOKUP(W51,'[1]POS_EAD_0112 a 3101_CAMP. REG)'!$F$231:$J$461,5,FALSE)</f>
        <v>303.42628200000001</v>
      </c>
      <c r="AC51" s="72">
        <f>VLOOKUP(W51,'[1]POS_EAD_0112 a 3101_CAMP. REG)'!$F$231:$L$461,7,FALSE)</f>
        <v>0.45</v>
      </c>
      <c r="AD51" s="73">
        <f>VLOOKUP(W51,'[1]POS_EAD_0112 a 3101_CAMP. REG)'!$F$231:$M$461,8,FALSE)</f>
        <v>150.19999999999999</v>
      </c>
      <c r="AE51" s="72">
        <f>VLOOKUP(W51,'[1]POS_EAD_0112 a 3101_CAMP. REG)'!$F$231:$P$461,11,FALSE)</f>
        <v>0.5</v>
      </c>
      <c r="AF51" s="73">
        <f>VLOOKUP(W51,'[1]POS_EAD_0112 a 3101_CAMP. REG)'!$F$231:$Q$461,12,FALSE)</f>
        <v>136.54</v>
      </c>
      <c r="AH51" s="121" t="s">
        <v>173</v>
      </c>
      <c r="AI51" s="69" t="s">
        <v>19</v>
      </c>
      <c r="AJ51" s="68" t="str">
        <f>VLOOKUP(UNG[[#This Row],[CURSO]],'[1]POS_EAD_0112 a 3101_CAMP. REG)'!$F$463:$G$688,2,FALSE)</f>
        <v>Exatas</v>
      </c>
      <c r="AK51" s="68">
        <f>VLOOKUP(UNG[[#This Row],[CURSO]],'[1]POS_EAD_0112 a 3101_CAMP. REG)'!$F$463:$H$688,3,FALSE)</f>
        <v>6</v>
      </c>
      <c r="AL51" s="68">
        <f>VLOOKUP(UNG[[#This Row],[CURSO]],'[1]POS_EAD_0112 a 3101_CAMP. REG)'!$F$463:$I$688,4,FALSE)</f>
        <v>13</v>
      </c>
      <c r="AM51" s="71">
        <f>VLOOKUP(UNG[[#This Row],[CURSO]],'[1]POS_EAD_0112 a 3101_CAMP. REG)'!$F$463:$J$688,5,FALSE)</f>
        <v>269.33202599999998</v>
      </c>
      <c r="AN51" s="124">
        <f>VLOOKUP(UNG[[#This Row],[CURSO]],'[1]POS_EAD_0112 a 3101_CAMP. REG)'!$F$463:$L$688,7,FALSE)</f>
        <v>0.45</v>
      </c>
      <c r="AO51" s="71">
        <f>VLOOKUP(UNG[[#This Row],[CURSO]],'[1]POS_EAD_0112 a 3101_CAMP. REG)'!$F$463:$M$688,8,FALSE)</f>
        <v>133.32</v>
      </c>
      <c r="AP51" s="124">
        <f>VLOOKUP(UNG[[#This Row],[CURSO]],'[1]POS_EAD_0112 a 3101_CAMP. REG)'!$F$463:$P$688,11,FALSE)</f>
        <v>0.5</v>
      </c>
      <c r="AQ51" s="71">
        <f>VLOOKUP(UNG[[#This Row],[CURSO]],'[1]POS_EAD_0112 a 3101_CAMP. REG)'!$F$463:$Q$688,12,FALSE)</f>
        <v>121.2</v>
      </c>
      <c r="AS51" s="121" t="s">
        <v>173</v>
      </c>
      <c r="AT51" s="69" t="s">
        <v>19</v>
      </c>
      <c r="AU51" s="69" t="str">
        <f>VLOOKUP(UNINASSAU[[#This Row],[CURSO]],'[1]POS_EAD_0112 a 3101_CAMP. REG)'!$F$690:$G$915,2,FALSE)</f>
        <v>Exatas</v>
      </c>
      <c r="AV51" s="69">
        <f>VLOOKUP(UNINASSAU[[#This Row],[CURSO]],'[1]POS_EAD_0112 a 3101_CAMP. REG)'!$F$690:$H$915,3,FALSE)</f>
        <v>6</v>
      </c>
      <c r="AW51" s="69">
        <f>VLOOKUP(UNINASSAU[[#This Row],[CURSO]],'[1]POS_EAD_0112 a 3101_CAMP. REG)'!$F$690:$I$915,4,FALSE)</f>
        <v>13</v>
      </c>
      <c r="AX51" s="73">
        <f>VLOOKUP(UNINASSAU[[#This Row],[CURSO]],'[1]POS_EAD_0112 a 3101_CAMP. REG)'!$F$690:$J$915,5,FALSE)</f>
        <v>269.33202599999998</v>
      </c>
      <c r="AY51" s="72">
        <f>VLOOKUP(UNINASSAU[[#This Row],[CURSO]],'[1]POS_EAD_0112 a 3101_CAMP. REG)'!$F$690:$L$915,7,FALSE)</f>
        <v>0.45</v>
      </c>
      <c r="AZ51" s="73">
        <f>VLOOKUP(UNINASSAU[[#This Row],[CURSO]],'[1]POS_EAD_0112 a 3101_CAMP. REG)'!$F$690:$N$915,8,FALSE)</f>
        <v>133.32</v>
      </c>
      <c r="BA51" s="72">
        <f>VLOOKUP(UNINASSAU[[#This Row],[CURSO]],'[1]POS_EAD_0112 a 3101_CAMP. REG)'!$F$690:$P$915,11,FALSE)</f>
        <v>0.5</v>
      </c>
      <c r="BB51" s="73">
        <f>VLOOKUP(UNINASSAU[[#This Row],[CURSO]],'[1]POS_EAD_0112 a 3101_CAMP. REG)'!$F$690:$Q$915,12,FALSE)</f>
        <v>121.2</v>
      </c>
      <c r="BD51" s="104">
        <v>48</v>
      </c>
      <c r="BE51" s="121" t="s">
        <v>173</v>
      </c>
      <c r="BF51" s="69" t="s">
        <v>19</v>
      </c>
    </row>
    <row r="52" spans="12:58" x14ac:dyDescent="0.25">
      <c r="L52" s="121" t="s">
        <v>156</v>
      </c>
      <c r="M52" s="69" t="s">
        <v>19</v>
      </c>
      <c r="N52" s="69" t="str">
        <f>VLOOKUP($L$4,'[1]POS_EAD_0112 a 3101_CAMP. REG)'!$F$5:$G$231,2,FALSE)</f>
        <v>Humanas</v>
      </c>
      <c r="O52" s="69">
        <f>VLOOKUP(L52,'[1]POS_EAD_0112 a 3101_CAMP. REG)'!$F$5:$H$231,3,FALSE)</f>
        <v>6</v>
      </c>
      <c r="P52" s="68">
        <f>VLOOKUP(L52,'[1]POS_EAD_0112 a 3101_CAMP. REG)'!$F$5:$I$231,4,FALSE)</f>
        <v>13</v>
      </c>
      <c r="Q52" s="73">
        <f>VLOOKUP(L52,'[1]POS_EAD_0112 a 3101_CAMP. REG)'!$F$5:$J$231,5,FALSE)</f>
        <v>405.70905000000005</v>
      </c>
      <c r="R52" s="124">
        <f>VLOOKUP(L52,'[1]POS_EAD_0112 a 3101_CAMP. REG)'!$F$5:$L$231,7,FALSE)</f>
        <v>0.45</v>
      </c>
      <c r="S52" s="73">
        <f>VLOOKUP(L52,'[1]POS_EAD_0112 a 3101_CAMP. REG)'!$F$5:$M$231,8,FALSE)</f>
        <v>200.83</v>
      </c>
      <c r="T52" s="124">
        <f>VLOOKUP(L52,'[1]POS_EAD_0112 a 3101_CAMP. REG)'!$F$5:$P$231,11,FALSE)</f>
        <v>0.5</v>
      </c>
      <c r="U52" s="73">
        <f>VLOOKUP(L52,'[1]POS_EAD_0112 a 3101_CAMP. REG)'!$F$5:$Q$231,12,FALSE)</f>
        <v>182.57</v>
      </c>
      <c r="W52" s="121" t="s">
        <v>156</v>
      </c>
      <c r="X52" s="69" t="s">
        <v>19</v>
      </c>
      <c r="Y52" s="69" t="str">
        <f>VLOOKUP(W52,'[1]POS_EAD_0112 a 3101_CAMP. REG)'!$F$231:$G$461,2,FALSE)</f>
        <v>Saúde</v>
      </c>
      <c r="Z52" s="68">
        <f>VLOOKUP(W52,'[1]POS_EAD_0112 a 3101_CAMP. REG)'!$F$231:$H$461,3,FALSE)</f>
        <v>6</v>
      </c>
      <c r="AA52" s="68">
        <f>VLOOKUP(W52,'[1]POS_EAD_0112 a 3101_CAMP. REG)'!$F$231:$I$461,4,FALSE)</f>
        <v>13</v>
      </c>
      <c r="AB52" s="73">
        <f>VLOOKUP(W52,'[1]POS_EAD_0112 a 3101_CAMP. REG)'!$F$231:$J$461,5,FALSE)</f>
        <v>439.79280900000003</v>
      </c>
      <c r="AC52" s="72">
        <f>VLOOKUP(W52,'[1]POS_EAD_0112 a 3101_CAMP. REG)'!$F$231:$L$461,7,FALSE)</f>
        <v>0.45</v>
      </c>
      <c r="AD52" s="73">
        <f>VLOOKUP(W52,'[1]POS_EAD_0112 a 3101_CAMP. REG)'!$F$231:$M$461,8,FALSE)</f>
        <v>217.7</v>
      </c>
      <c r="AE52" s="72">
        <f>VLOOKUP(W52,'[1]POS_EAD_0112 a 3101_CAMP. REG)'!$F$231:$P$461,11,FALSE)</f>
        <v>0.5</v>
      </c>
      <c r="AF52" s="73">
        <f>VLOOKUP(W52,'[1]POS_EAD_0112 a 3101_CAMP. REG)'!$F$231:$Q$461,12,FALSE)</f>
        <v>197.91</v>
      </c>
      <c r="AH52" s="121" t="s">
        <v>156</v>
      </c>
      <c r="AI52" s="69" t="s">
        <v>19</v>
      </c>
      <c r="AJ52" s="68" t="str">
        <f>VLOOKUP(UNG[[#This Row],[CURSO]],'[1]POS_EAD_0112 a 3101_CAMP. REG)'!$F$463:$G$688,2,FALSE)</f>
        <v>Saúde</v>
      </c>
      <c r="AK52" s="68">
        <f>VLOOKUP(UNG[[#This Row],[CURSO]],'[1]POS_EAD_0112 a 3101_CAMP. REG)'!$F$463:$H$688,3,FALSE)</f>
        <v>6</v>
      </c>
      <c r="AL52" s="68">
        <f>VLOOKUP(UNG[[#This Row],[CURSO]],'[1]POS_EAD_0112 a 3101_CAMP. REG)'!$F$463:$I$688,4,FALSE)</f>
        <v>13</v>
      </c>
      <c r="AM52" s="71">
        <f>VLOOKUP(UNG[[#This Row],[CURSO]],'[1]POS_EAD_0112 a 3101_CAMP. REG)'!$F$463:$J$688,5,FALSE)</f>
        <v>405.70905000000005</v>
      </c>
      <c r="AN52" s="124">
        <f>VLOOKUP(UNG[[#This Row],[CURSO]],'[1]POS_EAD_0112 a 3101_CAMP. REG)'!$F$463:$L$688,7,FALSE)</f>
        <v>0.45</v>
      </c>
      <c r="AO52" s="71">
        <f>VLOOKUP(UNG[[#This Row],[CURSO]],'[1]POS_EAD_0112 a 3101_CAMP. REG)'!$F$463:$M$688,8,FALSE)</f>
        <v>200.83</v>
      </c>
      <c r="AP52" s="124">
        <f>VLOOKUP(UNG[[#This Row],[CURSO]],'[1]POS_EAD_0112 a 3101_CAMP. REG)'!$F$463:$P$688,11,FALSE)</f>
        <v>0.5</v>
      </c>
      <c r="AQ52" s="71">
        <f>VLOOKUP(UNG[[#This Row],[CURSO]],'[1]POS_EAD_0112 a 3101_CAMP. REG)'!$F$463:$Q$688,12,FALSE)</f>
        <v>182.57</v>
      </c>
      <c r="AS52" s="121" t="s">
        <v>156</v>
      </c>
      <c r="AT52" s="69" t="s">
        <v>19</v>
      </c>
      <c r="AU52" s="69" t="str">
        <f>VLOOKUP(UNINASSAU[[#This Row],[CURSO]],'[1]POS_EAD_0112 a 3101_CAMP. REG)'!$F$690:$G$915,2,FALSE)</f>
        <v>Saúde</v>
      </c>
      <c r="AV52" s="69">
        <f>VLOOKUP(UNINASSAU[[#This Row],[CURSO]],'[1]POS_EAD_0112 a 3101_CAMP. REG)'!$F$690:$H$915,3,FALSE)</f>
        <v>6</v>
      </c>
      <c r="AW52" s="69">
        <f>VLOOKUP(UNINASSAU[[#This Row],[CURSO]],'[1]POS_EAD_0112 a 3101_CAMP. REG)'!$F$690:$I$915,4,FALSE)</f>
        <v>13</v>
      </c>
      <c r="AX52" s="73">
        <f>VLOOKUP(UNINASSAU[[#This Row],[CURSO]],'[1]POS_EAD_0112 a 3101_CAMP. REG)'!$F$690:$J$915,5,FALSE)</f>
        <v>405.70905000000005</v>
      </c>
      <c r="AY52" s="72">
        <f>VLOOKUP(UNINASSAU[[#This Row],[CURSO]],'[1]POS_EAD_0112 a 3101_CAMP. REG)'!$F$690:$L$915,7,FALSE)</f>
        <v>0.45</v>
      </c>
      <c r="AZ52" s="73">
        <f>VLOOKUP(UNINASSAU[[#This Row],[CURSO]],'[1]POS_EAD_0112 a 3101_CAMP. REG)'!$F$690:$N$915,8,FALSE)</f>
        <v>200.83</v>
      </c>
      <c r="BA52" s="72">
        <f>VLOOKUP(UNINASSAU[[#This Row],[CURSO]],'[1]POS_EAD_0112 a 3101_CAMP. REG)'!$F$690:$P$915,11,FALSE)</f>
        <v>0.5</v>
      </c>
      <c r="BB52" s="73">
        <f>VLOOKUP(UNINASSAU[[#This Row],[CURSO]],'[1]POS_EAD_0112 a 3101_CAMP. REG)'!$F$690:$Q$915,12,FALSE)</f>
        <v>182.57</v>
      </c>
      <c r="BD52" s="104">
        <v>49</v>
      </c>
      <c r="BE52" s="121" t="s">
        <v>156</v>
      </c>
      <c r="BF52" s="69" t="s">
        <v>19</v>
      </c>
    </row>
    <row r="53" spans="12:58" x14ac:dyDescent="0.25">
      <c r="L53" s="121" t="s">
        <v>158</v>
      </c>
      <c r="M53" s="69" t="s">
        <v>19</v>
      </c>
      <c r="N53" s="69" t="str">
        <f>VLOOKUP($L$4,'[1]POS_EAD_0112 a 3101_CAMP. REG)'!$F$5:$G$231,2,FALSE)</f>
        <v>Humanas</v>
      </c>
      <c r="O53" s="69">
        <f>VLOOKUP(L53,'[1]POS_EAD_0112 a 3101_CAMP. REG)'!$F$5:$H$231,3,FALSE)</f>
        <v>6</v>
      </c>
      <c r="P53" s="68">
        <f>VLOOKUP(L53,'[1]POS_EAD_0112 a 3101_CAMP. REG)'!$F$5:$I$231,4,FALSE)</f>
        <v>13</v>
      </c>
      <c r="Q53" s="73">
        <f>VLOOKUP(L53,'[1]POS_EAD_0112 a 3101_CAMP. REG)'!$F$5:$J$231,5,FALSE)</f>
        <v>405.70905000000005</v>
      </c>
      <c r="R53" s="124">
        <f>VLOOKUP(L53,'[1]POS_EAD_0112 a 3101_CAMP. REG)'!$F$5:$L$231,7,FALSE)</f>
        <v>0.45</v>
      </c>
      <c r="S53" s="73">
        <f>VLOOKUP(L53,'[1]POS_EAD_0112 a 3101_CAMP. REG)'!$F$5:$M$231,8,FALSE)</f>
        <v>200.83</v>
      </c>
      <c r="T53" s="124">
        <f>VLOOKUP(L53,'[1]POS_EAD_0112 a 3101_CAMP. REG)'!$F$5:$P$231,11,FALSE)</f>
        <v>0.5</v>
      </c>
      <c r="U53" s="73">
        <f>VLOOKUP(L53,'[1]POS_EAD_0112 a 3101_CAMP. REG)'!$F$5:$Q$231,12,FALSE)</f>
        <v>182.57</v>
      </c>
      <c r="W53" s="121" t="s">
        <v>158</v>
      </c>
      <c r="X53" s="69" t="s">
        <v>19</v>
      </c>
      <c r="Y53" s="69" t="str">
        <f>VLOOKUP(W53,'[1]POS_EAD_0112 a 3101_CAMP. REG)'!$F$231:$G$461,2,FALSE)</f>
        <v>Saúde</v>
      </c>
      <c r="Z53" s="68">
        <f>VLOOKUP(W53,'[1]POS_EAD_0112 a 3101_CAMP. REG)'!$F$231:$H$461,3,FALSE)</f>
        <v>6</v>
      </c>
      <c r="AA53" s="68">
        <f>VLOOKUP(W53,'[1]POS_EAD_0112 a 3101_CAMP. REG)'!$F$231:$I$461,4,FALSE)</f>
        <v>13</v>
      </c>
      <c r="AB53" s="73">
        <f>VLOOKUP(W53,'[1]POS_EAD_0112 a 3101_CAMP. REG)'!$F$231:$J$461,5,FALSE)</f>
        <v>439.79280900000003</v>
      </c>
      <c r="AC53" s="72">
        <f>VLOOKUP(W53,'[1]POS_EAD_0112 a 3101_CAMP. REG)'!$F$231:$L$461,7,FALSE)</f>
        <v>0.45</v>
      </c>
      <c r="AD53" s="73">
        <f>VLOOKUP(W53,'[1]POS_EAD_0112 a 3101_CAMP. REG)'!$F$231:$M$461,8,FALSE)</f>
        <v>217.7</v>
      </c>
      <c r="AE53" s="72">
        <f>VLOOKUP(W53,'[1]POS_EAD_0112 a 3101_CAMP. REG)'!$F$231:$P$461,11,FALSE)</f>
        <v>0.5</v>
      </c>
      <c r="AF53" s="73">
        <f>VLOOKUP(W53,'[1]POS_EAD_0112 a 3101_CAMP. REG)'!$F$231:$Q$461,12,FALSE)</f>
        <v>197.91</v>
      </c>
      <c r="AH53" s="121" t="s">
        <v>158</v>
      </c>
      <c r="AI53" s="69" t="s">
        <v>19</v>
      </c>
      <c r="AJ53" s="68" t="str">
        <f>VLOOKUP(UNG[[#This Row],[CURSO]],'[1]POS_EAD_0112 a 3101_CAMP. REG)'!$F$463:$G$688,2,FALSE)</f>
        <v>Saúde</v>
      </c>
      <c r="AK53" s="68">
        <f>VLOOKUP(UNG[[#This Row],[CURSO]],'[1]POS_EAD_0112 a 3101_CAMP. REG)'!$F$463:$H$688,3,FALSE)</f>
        <v>6</v>
      </c>
      <c r="AL53" s="68">
        <f>VLOOKUP(UNG[[#This Row],[CURSO]],'[1]POS_EAD_0112 a 3101_CAMP. REG)'!$F$463:$I$688,4,FALSE)</f>
        <v>13</v>
      </c>
      <c r="AM53" s="71">
        <f>VLOOKUP(UNG[[#This Row],[CURSO]],'[1]POS_EAD_0112 a 3101_CAMP. REG)'!$F$463:$J$688,5,FALSE)</f>
        <v>405.70905000000005</v>
      </c>
      <c r="AN53" s="124">
        <f>VLOOKUP(UNG[[#This Row],[CURSO]],'[1]POS_EAD_0112 a 3101_CAMP. REG)'!$F$463:$L$688,7,FALSE)</f>
        <v>0.45</v>
      </c>
      <c r="AO53" s="71">
        <f>VLOOKUP(UNG[[#This Row],[CURSO]],'[1]POS_EAD_0112 a 3101_CAMP. REG)'!$F$463:$M$688,8,FALSE)</f>
        <v>200.83</v>
      </c>
      <c r="AP53" s="124">
        <f>VLOOKUP(UNG[[#This Row],[CURSO]],'[1]POS_EAD_0112 a 3101_CAMP. REG)'!$F$463:$P$688,11,FALSE)</f>
        <v>0.5</v>
      </c>
      <c r="AQ53" s="71">
        <f>VLOOKUP(UNG[[#This Row],[CURSO]],'[1]POS_EAD_0112 a 3101_CAMP. REG)'!$F$463:$Q$688,12,FALSE)</f>
        <v>182.57</v>
      </c>
      <c r="AS53" s="121" t="s">
        <v>158</v>
      </c>
      <c r="AT53" s="69" t="s">
        <v>19</v>
      </c>
      <c r="AU53" s="69" t="str">
        <f>VLOOKUP(UNINASSAU[[#This Row],[CURSO]],'[1]POS_EAD_0112 a 3101_CAMP. REG)'!$F$690:$G$915,2,FALSE)</f>
        <v>Saúde</v>
      </c>
      <c r="AV53" s="69">
        <f>VLOOKUP(UNINASSAU[[#This Row],[CURSO]],'[1]POS_EAD_0112 a 3101_CAMP. REG)'!$F$690:$H$915,3,FALSE)</f>
        <v>6</v>
      </c>
      <c r="AW53" s="69">
        <f>VLOOKUP(UNINASSAU[[#This Row],[CURSO]],'[1]POS_EAD_0112 a 3101_CAMP. REG)'!$F$690:$I$915,4,FALSE)</f>
        <v>13</v>
      </c>
      <c r="AX53" s="73">
        <f>VLOOKUP(UNINASSAU[[#This Row],[CURSO]],'[1]POS_EAD_0112 a 3101_CAMP. REG)'!$F$690:$J$915,5,FALSE)</f>
        <v>405.70905000000005</v>
      </c>
      <c r="AY53" s="72">
        <f>VLOOKUP(UNINASSAU[[#This Row],[CURSO]],'[1]POS_EAD_0112 a 3101_CAMP. REG)'!$F$690:$L$915,7,FALSE)</f>
        <v>0.45</v>
      </c>
      <c r="AZ53" s="73">
        <f>VLOOKUP(UNINASSAU[[#This Row],[CURSO]],'[1]POS_EAD_0112 a 3101_CAMP. REG)'!$F$690:$N$915,8,FALSE)</f>
        <v>200.83</v>
      </c>
      <c r="BA53" s="72">
        <f>VLOOKUP(UNINASSAU[[#This Row],[CURSO]],'[1]POS_EAD_0112 a 3101_CAMP. REG)'!$F$690:$P$915,11,FALSE)</f>
        <v>0.5</v>
      </c>
      <c r="BB53" s="73">
        <f>VLOOKUP(UNINASSAU[[#This Row],[CURSO]],'[1]POS_EAD_0112 a 3101_CAMP. REG)'!$F$690:$Q$915,12,FALSE)</f>
        <v>182.57</v>
      </c>
      <c r="BD53" s="104">
        <v>50</v>
      </c>
      <c r="BE53" s="121" t="s">
        <v>158</v>
      </c>
      <c r="BF53" s="69" t="s">
        <v>19</v>
      </c>
    </row>
    <row r="54" spans="12:58" x14ac:dyDescent="0.25">
      <c r="L54" s="121" t="s">
        <v>157</v>
      </c>
      <c r="M54" s="69" t="s">
        <v>19</v>
      </c>
      <c r="N54" s="69" t="str">
        <f>VLOOKUP($L$4,'[1]POS_EAD_0112 a 3101_CAMP. REG)'!$F$5:$G$231,2,FALSE)</f>
        <v>Humanas</v>
      </c>
      <c r="O54" s="69">
        <f>VLOOKUP(L54,'[1]POS_EAD_0112 a 3101_CAMP. REG)'!$F$5:$H$231,3,FALSE)</f>
        <v>6</v>
      </c>
      <c r="P54" s="68">
        <f>VLOOKUP(L54,'[1]POS_EAD_0112 a 3101_CAMP. REG)'!$F$5:$I$231,4,FALSE)</f>
        <v>13</v>
      </c>
      <c r="Q54" s="73">
        <f>VLOOKUP(L54,'[1]POS_EAD_0112 a 3101_CAMP. REG)'!$F$5:$J$231,5,FALSE)</f>
        <v>405.70905000000005</v>
      </c>
      <c r="R54" s="124">
        <f>VLOOKUP(L54,'[1]POS_EAD_0112 a 3101_CAMP. REG)'!$F$5:$L$231,7,FALSE)</f>
        <v>0.45</v>
      </c>
      <c r="S54" s="73">
        <f>VLOOKUP(L54,'[1]POS_EAD_0112 a 3101_CAMP. REG)'!$F$5:$M$231,8,FALSE)</f>
        <v>200.83</v>
      </c>
      <c r="T54" s="124">
        <f>VLOOKUP(L54,'[1]POS_EAD_0112 a 3101_CAMP. REG)'!$F$5:$P$231,11,FALSE)</f>
        <v>0.5</v>
      </c>
      <c r="U54" s="73">
        <f>VLOOKUP(L54,'[1]POS_EAD_0112 a 3101_CAMP. REG)'!$F$5:$Q$231,12,FALSE)</f>
        <v>182.57</v>
      </c>
      <c r="W54" s="121" t="s">
        <v>157</v>
      </c>
      <c r="X54" s="69" t="s">
        <v>19</v>
      </c>
      <c r="Y54" s="69" t="str">
        <f>VLOOKUP(W54,'[1]POS_EAD_0112 a 3101_CAMP. REG)'!$F$231:$G$461,2,FALSE)</f>
        <v>Saúde</v>
      </c>
      <c r="Z54" s="68">
        <f>VLOOKUP(W54,'[1]POS_EAD_0112 a 3101_CAMP. REG)'!$F$231:$H$461,3,FALSE)</f>
        <v>6</v>
      </c>
      <c r="AA54" s="68">
        <f>VLOOKUP(W54,'[1]POS_EAD_0112 a 3101_CAMP. REG)'!$F$231:$I$461,4,FALSE)</f>
        <v>13</v>
      </c>
      <c r="AB54" s="73">
        <f>VLOOKUP(W54,'[1]POS_EAD_0112 a 3101_CAMP. REG)'!$F$231:$J$461,5,FALSE)</f>
        <v>439.79280900000003</v>
      </c>
      <c r="AC54" s="72">
        <f>VLOOKUP(W54,'[1]POS_EAD_0112 a 3101_CAMP. REG)'!$F$231:$L$461,7,FALSE)</f>
        <v>0.45</v>
      </c>
      <c r="AD54" s="73">
        <f>VLOOKUP(W54,'[1]POS_EAD_0112 a 3101_CAMP. REG)'!$F$231:$M$461,8,FALSE)</f>
        <v>217.7</v>
      </c>
      <c r="AE54" s="72">
        <f>VLOOKUP(W54,'[1]POS_EAD_0112 a 3101_CAMP. REG)'!$F$231:$P$461,11,FALSE)</f>
        <v>0.5</v>
      </c>
      <c r="AF54" s="73">
        <f>VLOOKUP(W54,'[1]POS_EAD_0112 a 3101_CAMP. REG)'!$F$231:$Q$461,12,FALSE)</f>
        <v>197.91</v>
      </c>
      <c r="AH54" s="121" t="s">
        <v>157</v>
      </c>
      <c r="AI54" s="69" t="s">
        <v>19</v>
      </c>
      <c r="AJ54" s="68" t="str">
        <f>VLOOKUP(UNG[[#This Row],[CURSO]],'[1]POS_EAD_0112 a 3101_CAMP. REG)'!$F$463:$G$688,2,FALSE)</f>
        <v>Saúde</v>
      </c>
      <c r="AK54" s="68">
        <f>VLOOKUP(UNG[[#This Row],[CURSO]],'[1]POS_EAD_0112 a 3101_CAMP. REG)'!$F$463:$H$688,3,FALSE)</f>
        <v>6</v>
      </c>
      <c r="AL54" s="68">
        <f>VLOOKUP(UNG[[#This Row],[CURSO]],'[1]POS_EAD_0112 a 3101_CAMP. REG)'!$F$463:$I$688,4,FALSE)</f>
        <v>13</v>
      </c>
      <c r="AM54" s="71">
        <f>VLOOKUP(UNG[[#This Row],[CURSO]],'[1]POS_EAD_0112 a 3101_CAMP. REG)'!$F$463:$J$688,5,FALSE)</f>
        <v>405.70905000000005</v>
      </c>
      <c r="AN54" s="124">
        <f>VLOOKUP(UNG[[#This Row],[CURSO]],'[1]POS_EAD_0112 a 3101_CAMP. REG)'!$F$463:$L$688,7,FALSE)</f>
        <v>0.45</v>
      </c>
      <c r="AO54" s="71">
        <f>VLOOKUP(UNG[[#This Row],[CURSO]],'[1]POS_EAD_0112 a 3101_CAMP. REG)'!$F$463:$M$688,8,FALSE)</f>
        <v>200.83</v>
      </c>
      <c r="AP54" s="124">
        <f>VLOOKUP(UNG[[#This Row],[CURSO]],'[1]POS_EAD_0112 a 3101_CAMP. REG)'!$F$463:$P$688,11,FALSE)</f>
        <v>0.5</v>
      </c>
      <c r="AQ54" s="71">
        <f>VLOOKUP(UNG[[#This Row],[CURSO]],'[1]POS_EAD_0112 a 3101_CAMP. REG)'!$F$463:$Q$688,12,FALSE)</f>
        <v>182.57</v>
      </c>
      <c r="AS54" s="121" t="s">
        <v>157</v>
      </c>
      <c r="AT54" s="69" t="s">
        <v>19</v>
      </c>
      <c r="AU54" s="69" t="str">
        <f>VLOOKUP(UNINASSAU[[#This Row],[CURSO]],'[1]POS_EAD_0112 a 3101_CAMP. REG)'!$F$690:$G$915,2,FALSE)</f>
        <v>Saúde</v>
      </c>
      <c r="AV54" s="69">
        <f>VLOOKUP(UNINASSAU[[#This Row],[CURSO]],'[1]POS_EAD_0112 a 3101_CAMP. REG)'!$F$690:$H$915,3,FALSE)</f>
        <v>6</v>
      </c>
      <c r="AW54" s="69">
        <f>VLOOKUP(UNINASSAU[[#This Row],[CURSO]],'[1]POS_EAD_0112 a 3101_CAMP. REG)'!$F$690:$I$915,4,FALSE)</f>
        <v>13</v>
      </c>
      <c r="AX54" s="73">
        <f>VLOOKUP(UNINASSAU[[#This Row],[CURSO]],'[1]POS_EAD_0112 a 3101_CAMP. REG)'!$F$690:$J$915,5,FALSE)</f>
        <v>405.70905000000005</v>
      </c>
      <c r="AY54" s="72">
        <f>VLOOKUP(UNINASSAU[[#This Row],[CURSO]],'[1]POS_EAD_0112 a 3101_CAMP. REG)'!$F$690:$L$915,7,FALSE)</f>
        <v>0.45</v>
      </c>
      <c r="AZ54" s="73">
        <f>VLOOKUP(UNINASSAU[[#This Row],[CURSO]],'[1]POS_EAD_0112 a 3101_CAMP. REG)'!$F$690:$N$915,8,FALSE)</f>
        <v>200.83</v>
      </c>
      <c r="BA54" s="72">
        <f>VLOOKUP(UNINASSAU[[#This Row],[CURSO]],'[1]POS_EAD_0112 a 3101_CAMP. REG)'!$F$690:$P$915,11,FALSE)</f>
        <v>0.5</v>
      </c>
      <c r="BB54" s="73">
        <f>VLOOKUP(UNINASSAU[[#This Row],[CURSO]],'[1]POS_EAD_0112 a 3101_CAMP. REG)'!$F$690:$Q$915,12,FALSE)</f>
        <v>182.57</v>
      </c>
      <c r="BD54" s="104">
        <v>51</v>
      </c>
      <c r="BE54" s="121" t="s">
        <v>157</v>
      </c>
      <c r="BF54" s="69" t="s">
        <v>19</v>
      </c>
    </row>
    <row r="55" spans="12:58" x14ac:dyDescent="0.25">
      <c r="L55" s="121" t="s">
        <v>144</v>
      </c>
      <c r="M55" s="69" t="s">
        <v>19</v>
      </c>
      <c r="N55" s="69" t="str">
        <f>VLOOKUP($L$4,'[1]POS_EAD_0112 a 3101_CAMP. REG)'!$F$5:$G$231,2,FALSE)</f>
        <v>Humanas</v>
      </c>
      <c r="O55" s="69">
        <f>VLOOKUP(L55,'[1]POS_EAD_0112 a 3101_CAMP. REG)'!$F$5:$H$231,3,FALSE)</f>
        <v>6</v>
      </c>
      <c r="P55" s="68">
        <f>VLOOKUP(L55,'[1]POS_EAD_0112 a 3101_CAMP. REG)'!$F$5:$I$231,4,FALSE)</f>
        <v>13</v>
      </c>
      <c r="Q55" s="73">
        <f>VLOOKUP(L55,'[1]POS_EAD_0112 a 3101_CAMP. REG)'!$F$5:$J$231,5,FALSE)</f>
        <v>269.33202599999998</v>
      </c>
      <c r="R55" s="124">
        <f>VLOOKUP(L55,'[1]POS_EAD_0112 a 3101_CAMP. REG)'!$F$5:$L$231,7,FALSE)</f>
        <v>0.45</v>
      </c>
      <c r="S55" s="73">
        <f>VLOOKUP(L55,'[1]POS_EAD_0112 a 3101_CAMP. REG)'!$F$5:$M$231,8,FALSE)</f>
        <v>133.32</v>
      </c>
      <c r="T55" s="124">
        <f>VLOOKUP(L55,'[1]POS_EAD_0112 a 3101_CAMP. REG)'!$F$5:$P$231,11,FALSE)</f>
        <v>0.5</v>
      </c>
      <c r="U55" s="73">
        <f>VLOOKUP(L55,'[1]POS_EAD_0112 a 3101_CAMP. REG)'!$F$5:$Q$231,12,FALSE)</f>
        <v>121.2</v>
      </c>
      <c r="W55" s="121" t="s">
        <v>144</v>
      </c>
      <c r="X55" s="69" t="s">
        <v>19</v>
      </c>
      <c r="Y55" s="69" t="str">
        <f>VLOOKUP(W55,'[1]POS_EAD_0112 a 3101_CAMP. REG)'!$F$231:$G$461,2,FALSE)</f>
        <v>Humanas</v>
      </c>
      <c r="Z55" s="68">
        <f>VLOOKUP(W55,'[1]POS_EAD_0112 a 3101_CAMP. REG)'!$F$231:$H$461,3,FALSE)</f>
        <v>6</v>
      </c>
      <c r="AA55" s="68">
        <f>VLOOKUP(W55,'[1]POS_EAD_0112 a 3101_CAMP. REG)'!$F$231:$I$461,4,FALSE)</f>
        <v>13</v>
      </c>
      <c r="AB55" s="73">
        <f>VLOOKUP(W55,'[1]POS_EAD_0112 a 3101_CAMP. REG)'!$F$231:$J$461,5,FALSE)</f>
        <v>303.42628200000001</v>
      </c>
      <c r="AC55" s="72">
        <f>VLOOKUP(W55,'[1]POS_EAD_0112 a 3101_CAMP. REG)'!$F$231:$L$461,7,FALSE)</f>
        <v>0.45</v>
      </c>
      <c r="AD55" s="73">
        <f>VLOOKUP(W55,'[1]POS_EAD_0112 a 3101_CAMP. REG)'!$F$231:$M$461,8,FALSE)</f>
        <v>150.19999999999999</v>
      </c>
      <c r="AE55" s="72">
        <f>VLOOKUP(W55,'[1]POS_EAD_0112 a 3101_CAMP. REG)'!$F$231:$P$461,11,FALSE)</f>
        <v>0.5</v>
      </c>
      <c r="AF55" s="73">
        <f>VLOOKUP(W55,'[1]POS_EAD_0112 a 3101_CAMP. REG)'!$F$231:$Q$461,12,FALSE)</f>
        <v>136.54</v>
      </c>
      <c r="AH55" s="121" t="s">
        <v>144</v>
      </c>
      <c r="AI55" s="69" t="s">
        <v>19</v>
      </c>
      <c r="AJ55" s="68" t="str">
        <f>VLOOKUP(UNG[[#This Row],[CURSO]],'[1]POS_EAD_0112 a 3101_CAMP. REG)'!$F$463:$G$688,2,FALSE)</f>
        <v>Humanas</v>
      </c>
      <c r="AK55" s="68">
        <f>VLOOKUP(UNG[[#This Row],[CURSO]],'[1]POS_EAD_0112 a 3101_CAMP. REG)'!$F$463:$H$688,3,FALSE)</f>
        <v>6</v>
      </c>
      <c r="AL55" s="68">
        <f>VLOOKUP(UNG[[#This Row],[CURSO]],'[1]POS_EAD_0112 a 3101_CAMP. REG)'!$F$463:$I$688,4,FALSE)</f>
        <v>13</v>
      </c>
      <c r="AM55" s="71">
        <f>VLOOKUP(UNG[[#This Row],[CURSO]],'[1]POS_EAD_0112 a 3101_CAMP. REG)'!$F$463:$J$688,5,FALSE)</f>
        <v>269.33202599999998</v>
      </c>
      <c r="AN55" s="124">
        <f>VLOOKUP(UNG[[#This Row],[CURSO]],'[1]POS_EAD_0112 a 3101_CAMP. REG)'!$F$463:$L$688,7,FALSE)</f>
        <v>0.45</v>
      </c>
      <c r="AO55" s="71">
        <f>VLOOKUP(UNG[[#This Row],[CURSO]],'[1]POS_EAD_0112 a 3101_CAMP. REG)'!$F$463:$M$688,8,FALSE)</f>
        <v>133.32</v>
      </c>
      <c r="AP55" s="124">
        <f>VLOOKUP(UNG[[#This Row],[CURSO]],'[1]POS_EAD_0112 a 3101_CAMP. REG)'!$F$463:$P$688,11,FALSE)</f>
        <v>0.5</v>
      </c>
      <c r="AQ55" s="71">
        <f>VLOOKUP(UNG[[#This Row],[CURSO]],'[1]POS_EAD_0112 a 3101_CAMP. REG)'!$F$463:$Q$688,12,FALSE)</f>
        <v>121.2</v>
      </c>
      <c r="AS55" s="121" t="s">
        <v>144</v>
      </c>
      <c r="AT55" s="69" t="s">
        <v>19</v>
      </c>
      <c r="AU55" s="69" t="str">
        <f>VLOOKUP(UNINASSAU[[#This Row],[CURSO]],'[1]POS_EAD_0112 a 3101_CAMP. REG)'!$F$690:$G$915,2,FALSE)</f>
        <v>Humanas</v>
      </c>
      <c r="AV55" s="69">
        <f>VLOOKUP(UNINASSAU[[#This Row],[CURSO]],'[1]POS_EAD_0112 a 3101_CAMP. REG)'!$F$690:$H$915,3,FALSE)</f>
        <v>6</v>
      </c>
      <c r="AW55" s="69">
        <f>VLOOKUP(UNINASSAU[[#This Row],[CURSO]],'[1]POS_EAD_0112 a 3101_CAMP. REG)'!$F$690:$I$915,4,FALSE)</f>
        <v>13</v>
      </c>
      <c r="AX55" s="73">
        <f>VLOOKUP(UNINASSAU[[#This Row],[CURSO]],'[1]POS_EAD_0112 a 3101_CAMP. REG)'!$F$690:$J$915,5,FALSE)</f>
        <v>269.33202599999998</v>
      </c>
      <c r="AY55" s="72">
        <f>VLOOKUP(UNINASSAU[[#This Row],[CURSO]],'[1]POS_EAD_0112 a 3101_CAMP. REG)'!$F$690:$L$915,7,FALSE)</f>
        <v>0.45</v>
      </c>
      <c r="AZ55" s="73">
        <f>VLOOKUP(UNINASSAU[[#This Row],[CURSO]],'[1]POS_EAD_0112 a 3101_CAMP. REG)'!$F$690:$N$915,8,FALSE)</f>
        <v>133.32</v>
      </c>
      <c r="BA55" s="72">
        <f>VLOOKUP(UNINASSAU[[#This Row],[CURSO]],'[1]POS_EAD_0112 a 3101_CAMP. REG)'!$F$690:$P$915,11,FALSE)</f>
        <v>0.5</v>
      </c>
      <c r="BB55" s="73">
        <f>VLOOKUP(UNINASSAU[[#This Row],[CURSO]],'[1]POS_EAD_0112 a 3101_CAMP. REG)'!$F$690:$Q$915,12,FALSE)</f>
        <v>121.2</v>
      </c>
      <c r="BD55" s="104">
        <v>52</v>
      </c>
      <c r="BE55" s="121" t="s">
        <v>144</v>
      </c>
      <c r="BF55" s="69" t="s">
        <v>19</v>
      </c>
    </row>
    <row r="56" spans="12:58" x14ac:dyDescent="0.25">
      <c r="L56" s="121" t="s">
        <v>115</v>
      </c>
      <c r="M56" s="69" t="s">
        <v>19</v>
      </c>
      <c r="N56" s="69" t="str">
        <f>VLOOKUP($L$4,'[1]POS_EAD_0112 a 3101_CAMP. REG)'!$F$5:$G$231,2,FALSE)</f>
        <v>Humanas</v>
      </c>
      <c r="O56" s="69">
        <f>VLOOKUP(L56,'[1]POS_EAD_0112 a 3101_CAMP. REG)'!$F$5:$H$231,3,FALSE)</f>
        <v>6</v>
      </c>
      <c r="P56" s="68">
        <f>VLOOKUP(L56,'[1]POS_EAD_0112 a 3101_CAMP. REG)'!$F$5:$I$231,4,FALSE)</f>
        <v>13</v>
      </c>
      <c r="Q56" s="73">
        <f>VLOOKUP(L56,'[1]POS_EAD_0112 a 3101_CAMP. REG)'!$F$5:$J$231,5,FALSE)</f>
        <v>269.33202599999998</v>
      </c>
      <c r="R56" s="124">
        <f>VLOOKUP(L56,'[1]POS_EAD_0112 a 3101_CAMP. REG)'!$F$5:$L$231,7,FALSE)</f>
        <v>0.45</v>
      </c>
      <c r="S56" s="73">
        <f>VLOOKUP(L56,'[1]POS_EAD_0112 a 3101_CAMP. REG)'!$F$5:$M$231,8,FALSE)</f>
        <v>133.32</v>
      </c>
      <c r="T56" s="124">
        <f>VLOOKUP(L56,'[1]POS_EAD_0112 a 3101_CAMP. REG)'!$F$5:$P$231,11,FALSE)</f>
        <v>0.5</v>
      </c>
      <c r="U56" s="73">
        <f>VLOOKUP(L56,'[1]POS_EAD_0112 a 3101_CAMP. REG)'!$F$5:$Q$231,12,FALSE)</f>
        <v>121.2</v>
      </c>
      <c r="W56" s="121" t="s">
        <v>115</v>
      </c>
      <c r="X56" s="69" t="s">
        <v>19</v>
      </c>
      <c r="Y56" s="69" t="str">
        <f>VLOOKUP(W56,'[1]POS_EAD_0112 a 3101_CAMP. REG)'!$F$231:$G$461,2,FALSE)</f>
        <v>Humanas</v>
      </c>
      <c r="Z56" s="68">
        <f>VLOOKUP(W56,'[1]POS_EAD_0112 a 3101_CAMP. REG)'!$F$231:$H$461,3,FALSE)</f>
        <v>6</v>
      </c>
      <c r="AA56" s="68">
        <f>VLOOKUP(W56,'[1]POS_EAD_0112 a 3101_CAMP. REG)'!$F$231:$I$461,4,FALSE)</f>
        <v>13</v>
      </c>
      <c r="AB56" s="73">
        <f>VLOOKUP(W56,'[1]POS_EAD_0112 a 3101_CAMP. REG)'!$F$231:$J$461,5,FALSE)</f>
        <v>303.42628200000001</v>
      </c>
      <c r="AC56" s="72">
        <f>VLOOKUP(W56,'[1]POS_EAD_0112 a 3101_CAMP. REG)'!$F$231:$L$461,7,FALSE)</f>
        <v>0.45</v>
      </c>
      <c r="AD56" s="73">
        <f>VLOOKUP(W56,'[1]POS_EAD_0112 a 3101_CAMP. REG)'!$F$231:$M$461,8,FALSE)</f>
        <v>150.19999999999999</v>
      </c>
      <c r="AE56" s="72">
        <f>VLOOKUP(W56,'[1]POS_EAD_0112 a 3101_CAMP. REG)'!$F$231:$P$461,11,FALSE)</f>
        <v>0.5</v>
      </c>
      <c r="AF56" s="73">
        <f>VLOOKUP(W56,'[1]POS_EAD_0112 a 3101_CAMP. REG)'!$F$231:$Q$461,12,FALSE)</f>
        <v>136.54</v>
      </c>
      <c r="AH56" s="121" t="s">
        <v>115</v>
      </c>
      <c r="AI56" s="69" t="s">
        <v>19</v>
      </c>
      <c r="AJ56" s="68" t="str">
        <f>VLOOKUP(UNG[[#This Row],[CURSO]],'[1]POS_EAD_0112 a 3101_CAMP. REG)'!$F$463:$G$688,2,FALSE)</f>
        <v>Humanas</v>
      </c>
      <c r="AK56" s="68">
        <f>VLOOKUP(UNG[[#This Row],[CURSO]],'[1]POS_EAD_0112 a 3101_CAMP. REG)'!$F$463:$H$688,3,FALSE)</f>
        <v>6</v>
      </c>
      <c r="AL56" s="68">
        <f>VLOOKUP(UNG[[#This Row],[CURSO]],'[1]POS_EAD_0112 a 3101_CAMP. REG)'!$F$463:$I$688,4,FALSE)</f>
        <v>13</v>
      </c>
      <c r="AM56" s="71">
        <f>VLOOKUP(UNG[[#This Row],[CURSO]],'[1]POS_EAD_0112 a 3101_CAMP. REG)'!$F$463:$J$688,5,FALSE)</f>
        <v>269.33202599999998</v>
      </c>
      <c r="AN56" s="124">
        <f>VLOOKUP(UNG[[#This Row],[CURSO]],'[1]POS_EAD_0112 a 3101_CAMP. REG)'!$F$463:$L$688,7,FALSE)</f>
        <v>0.45</v>
      </c>
      <c r="AO56" s="71">
        <f>VLOOKUP(UNG[[#This Row],[CURSO]],'[1]POS_EAD_0112 a 3101_CAMP. REG)'!$F$463:$M$688,8,FALSE)</f>
        <v>133.32</v>
      </c>
      <c r="AP56" s="124">
        <f>VLOOKUP(UNG[[#This Row],[CURSO]],'[1]POS_EAD_0112 a 3101_CAMP. REG)'!$F$463:$P$688,11,FALSE)</f>
        <v>0.5</v>
      </c>
      <c r="AQ56" s="71">
        <f>VLOOKUP(UNG[[#This Row],[CURSO]],'[1]POS_EAD_0112 a 3101_CAMP. REG)'!$F$463:$Q$688,12,FALSE)</f>
        <v>121.2</v>
      </c>
      <c r="AS56" s="121" t="s">
        <v>115</v>
      </c>
      <c r="AT56" s="69" t="s">
        <v>19</v>
      </c>
      <c r="AU56" s="69" t="str">
        <f>VLOOKUP(UNINASSAU[[#This Row],[CURSO]],'[1]POS_EAD_0112 a 3101_CAMP. REG)'!$F$690:$G$915,2,FALSE)</f>
        <v>Humanas</v>
      </c>
      <c r="AV56" s="69">
        <f>VLOOKUP(UNINASSAU[[#This Row],[CURSO]],'[1]POS_EAD_0112 a 3101_CAMP. REG)'!$F$690:$H$915,3,FALSE)</f>
        <v>6</v>
      </c>
      <c r="AW56" s="69">
        <f>VLOOKUP(UNINASSAU[[#This Row],[CURSO]],'[1]POS_EAD_0112 a 3101_CAMP. REG)'!$F$690:$I$915,4,FALSE)</f>
        <v>13</v>
      </c>
      <c r="AX56" s="73">
        <f>VLOOKUP(UNINASSAU[[#This Row],[CURSO]],'[1]POS_EAD_0112 a 3101_CAMP. REG)'!$F$690:$J$915,5,FALSE)</f>
        <v>269.33202599999998</v>
      </c>
      <c r="AY56" s="72">
        <f>VLOOKUP(UNINASSAU[[#This Row],[CURSO]],'[1]POS_EAD_0112 a 3101_CAMP. REG)'!$F$690:$L$915,7,FALSE)</f>
        <v>0.45</v>
      </c>
      <c r="AZ56" s="73">
        <f>VLOOKUP(UNINASSAU[[#This Row],[CURSO]],'[1]POS_EAD_0112 a 3101_CAMP. REG)'!$F$690:$N$915,8,FALSE)</f>
        <v>133.32</v>
      </c>
      <c r="BA56" s="72">
        <f>VLOOKUP(UNINASSAU[[#This Row],[CURSO]],'[1]POS_EAD_0112 a 3101_CAMP. REG)'!$F$690:$P$915,11,FALSE)</f>
        <v>0.5</v>
      </c>
      <c r="BB56" s="73">
        <f>VLOOKUP(UNINASSAU[[#This Row],[CURSO]],'[1]POS_EAD_0112 a 3101_CAMP. REG)'!$F$690:$Q$915,12,FALSE)</f>
        <v>121.2</v>
      </c>
      <c r="BD56" s="104">
        <v>53</v>
      </c>
      <c r="BE56" s="121" t="s">
        <v>115</v>
      </c>
      <c r="BF56" s="69" t="s">
        <v>19</v>
      </c>
    </row>
    <row r="57" spans="12:58" x14ac:dyDescent="0.25">
      <c r="L57" s="121" t="s">
        <v>161</v>
      </c>
      <c r="M57" s="69" t="s">
        <v>19</v>
      </c>
      <c r="N57" s="69" t="str">
        <f>VLOOKUP($L$4,'[1]POS_EAD_0112 a 3101_CAMP. REG)'!$F$5:$G$231,2,FALSE)</f>
        <v>Humanas</v>
      </c>
      <c r="O57" s="69">
        <f>VLOOKUP(L57,'[1]POS_EAD_0112 a 3101_CAMP. REG)'!$F$5:$H$231,3,FALSE)</f>
        <v>12</v>
      </c>
      <c r="P57" s="68">
        <f>VLOOKUP(L57,'[1]POS_EAD_0112 a 3101_CAMP. REG)'!$F$5:$I$231,4,FALSE)</f>
        <v>19</v>
      </c>
      <c r="Q57" s="73">
        <f>VLOOKUP(L57,'[1]POS_EAD_0112 a 3101_CAMP. REG)'!$F$5:$J$231,5,FALSE)</f>
        <v>184.28091221052631</v>
      </c>
      <c r="R57" s="124">
        <f>VLOOKUP(L57,'[1]POS_EAD_0112 a 3101_CAMP. REG)'!$F$5:$L$231,7,FALSE)</f>
        <v>0.45</v>
      </c>
      <c r="S57" s="73">
        <f>VLOOKUP(L57,'[1]POS_EAD_0112 a 3101_CAMP. REG)'!$F$5:$M$231,8,FALSE)</f>
        <v>91.22</v>
      </c>
      <c r="T57" s="124">
        <f>VLOOKUP(L57,'[1]POS_EAD_0112 a 3101_CAMP. REG)'!$F$5:$P$231,11,FALSE)</f>
        <v>0.5</v>
      </c>
      <c r="U57" s="73">
        <f>VLOOKUP(L57,'[1]POS_EAD_0112 a 3101_CAMP. REG)'!$F$5:$Q$231,12,FALSE)</f>
        <v>82.93</v>
      </c>
      <c r="W57" s="121" t="s">
        <v>161</v>
      </c>
      <c r="X57" s="69" t="s">
        <v>19</v>
      </c>
      <c r="Y57" s="69" t="str">
        <f>VLOOKUP(W57,'[1]POS_EAD_0112 a 3101_CAMP. REG)'!$F$231:$G$461,2,FALSE)</f>
        <v>Humanas</v>
      </c>
      <c r="Z57" s="68">
        <f>VLOOKUP(W57,'[1]POS_EAD_0112 a 3101_CAMP. REG)'!$F$231:$H$461,3,FALSE)</f>
        <v>12</v>
      </c>
      <c r="AA57" s="68">
        <f>VLOOKUP(W57,'[1]POS_EAD_0112 a 3101_CAMP. REG)'!$F$231:$I$461,4,FALSE)</f>
        <v>19</v>
      </c>
      <c r="AB57" s="73">
        <f>VLOOKUP(W57,'[1]POS_EAD_0112 a 3101_CAMP. REG)'!$F$231:$J$461,5,FALSE)</f>
        <v>207.609666</v>
      </c>
      <c r="AC57" s="72">
        <f>VLOOKUP(W57,'[1]POS_EAD_0112 a 3101_CAMP. REG)'!$F$231:$L$461,7,FALSE)</f>
        <v>0.45</v>
      </c>
      <c r="AD57" s="73">
        <f>VLOOKUP(W57,'[1]POS_EAD_0112 a 3101_CAMP. REG)'!$F$231:$M$461,8,FALSE)</f>
        <v>102.77</v>
      </c>
      <c r="AE57" s="72">
        <f>VLOOKUP(W57,'[1]POS_EAD_0112 a 3101_CAMP. REG)'!$F$231:$P$461,11,FALSE)</f>
        <v>0.5</v>
      </c>
      <c r="AF57" s="73">
        <f>VLOOKUP(W57,'[1]POS_EAD_0112 a 3101_CAMP. REG)'!$F$231:$Q$461,12,FALSE)</f>
        <v>93.42</v>
      </c>
      <c r="AH57" s="121" t="s">
        <v>161</v>
      </c>
      <c r="AI57" s="69" t="s">
        <v>19</v>
      </c>
      <c r="AJ57" s="68" t="str">
        <f>VLOOKUP(UNG[[#This Row],[CURSO]],'[1]POS_EAD_0112 a 3101_CAMP. REG)'!$F$463:$G$688,2,FALSE)</f>
        <v>Humanas</v>
      </c>
      <c r="AK57" s="68">
        <f>VLOOKUP(UNG[[#This Row],[CURSO]],'[1]POS_EAD_0112 a 3101_CAMP. REG)'!$F$463:$H$688,3,FALSE)</f>
        <v>12</v>
      </c>
      <c r="AL57" s="68">
        <f>VLOOKUP(UNG[[#This Row],[CURSO]],'[1]POS_EAD_0112 a 3101_CAMP. REG)'!$F$463:$I$688,4,FALSE)</f>
        <v>19</v>
      </c>
      <c r="AM57" s="71">
        <f>VLOOKUP(UNG[[#This Row],[CURSO]],'[1]POS_EAD_0112 a 3101_CAMP. REG)'!$F$463:$J$688,5,FALSE)</f>
        <v>184.28091221052631</v>
      </c>
      <c r="AN57" s="124">
        <f>VLOOKUP(UNG[[#This Row],[CURSO]],'[1]POS_EAD_0112 a 3101_CAMP. REG)'!$F$463:$L$688,7,FALSE)</f>
        <v>0.45</v>
      </c>
      <c r="AO57" s="71">
        <f>VLOOKUP(UNG[[#This Row],[CURSO]],'[1]POS_EAD_0112 a 3101_CAMP. REG)'!$F$463:$M$688,8,FALSE)</f>
        <v>91.22</v>
      </c>
      <c r="AP57" s="124">
        <f>VLOOKUP(UNG[[#This Row],[CURSO]],'[1]POS_EAD_0112 a 3101_CAMP. REG)'!$F$463:$P$688,11,FALSE)</f>
        <v>0.5</v>
      </c>
      <c r="AQ57" s="71">
        <f>VLOOKUP(UNG[[#This Row],[CURSO]],'[1]POS_EAD_0112 a 3101_CAMP. REG)'!$F$463:$Q$688,12,FALSE)</f>
        <v>82.93</v>
      </c>
      <c r="AS57" s="121" t="s">
        <v>161</v>
      </c>
      <c r="AT57" s="69" t="s">
        <v>19</v>
      </c>
      <c r="AU57" s="69" t="str">
        <f>VLOOKUP(UNINASSAU[[#This Row],[CURSO]],'[1]POS_EAD_0112 a 3101_CAMP. REG)'!$F$690:$G$915,2,FALSE)</f>
        <v>Humanas</v>
      </c>
      <c r="AV57" s="69">
        <f>VLOOKUP(UNINASSAU[[#This Row],[CURSO]],'[1]POS_EAD_0112 a 3101_CAMP. REG)'!$F$690:$H$915,3,FALSE)</f>
        <v>12</v>
      </c>
      <c r="AW57" s="69">
        <f>VLOOKUP(UNINASSAU[[#This Row],[CURSO]],'[1]POS_EAD_0112 a 3101_CAMP. REG)'!$F$690:$I$915,4,FALSE)</f>
        <v>19</v>
      </c>
      <c r="AX57" s="73">
        <f>VLOOKUP(UNINASSAU[[#This Row],[CURSO]],'[1]POS_EAD_0112 a 3101_CAMP. REG)'!$F$690:$J$915,5,FALSE)</f>
        <v>184.28091221052631</v>
      </c>
      <c r="AY57" s="72">
        <f>VLOOKUP(UNINASSAU[[#This Row],[CURSO]],'[1]POS_EAD_0112 a 3101_CAMP. REG)'!$F$690:$L$915,7,FALSE)</f>
        <v>0.45</v>
      </c>
      <c r="AZ57" s="73">
        <f>VLOOKUP(UNINASSAU[[#This Row],[CURSO]],'[1]POS_EAD_0112 a 3101_CAMP. REG)'!$F$690:$N$915,8,FALSE)</f>
        <v>91.22</v>
      </c>
      <c r="BA57" s="72">
        <f>VLOOKUP(UNINASSAU[[#This Row],[CURSO]],'[1]POS_EAD_0112 a 3101_CAMP. REG)'!$F$690:$P$915,11,FALSE)</f>
        <v>0.5</v>
      </c>
      <c r="BB57" s="73">
        <f>VLOOKUP(UNINASSAU[[#This Row],[CURSO]],'[1]POS_EAD_0112 a 3101_CAMP. REG)'!$F$690:$Q$915,12,FALSE)</f>
        <v>82.93</v>
      </c>
      <c r="BD57" s="104">
        <v>54</v>
      </c>
      <c r="BE57" s="121" t="s">
        <v>161</v>
      </c>
      <c r="BF57" s="69" t="s">
        <v>19</v>
      </c>
    </row>
    <row r="58" spans="12:58" x14ac:dyDescent="0.25">
      <c r="L58" s="121" t="s">
        <v>180</v>
      </c>
      <c r="M58" s="69" t="s">
        <v>19</v>
      </c>
      <c r="N58" s="69" t="str">
        <f>VLOOKUP($L$4,'[1]POS_EAD_0112 a 3101_CAMP. REG)'!$F$5:$G$231,2,FALSE)</f>
        <v>Humanas</v>
      </c>
      <c r="O58" s="69">
        <f>VLOOKUP(L58,'[1]POS_EAD_0112 a 3101_CAMP. REG)'!$F$5:$H$231,3,FALSE)</f>
        <v>12</v>
      </c>
      <c r="P58" s="68">
        <f>VLOOKUP(L58,'[1]POS_EAD_0112 a 3101_CAMP. REG)'!$F$5:$I$231,4,FALSE)</f>
        <v>19</v>
      </c>
      <c r="Q58" s="73">
        <f>VLOOKUP(L58,'[1]POS_EAD_0112 a 3101_CAMP. REG)'!$F$5:$J$231,5,FALSE)</f>
        <v>184.28091221052631</v>
      </c>
      <c r="R58" s="124">
        <f>VLOOKUP(L58,'[1]POS_EAD_0112 a 3101_CAMP. REG)'!$F$5:$L$231,7,FALSE)</f>
        <v>0.45</v>
      </c>
      <c r="S58" s="73">
        <f>VLOOKUP(L58,'[1]POS_EAD_0112 a 3101_CAMP. REG)'!$F$5:$M$231,8,FALSE)</f>
        <v>91.22</v>
      </c>
      <c r="T58" s="124">
        <f>VLOOKUP(L58,'[1]POS_EAD_0112 a 3101_CAMP. REG)'!$F$5:$P$231,11,FALSE)</f>
        <v>0.5</v>
      </c>
      <c r="U58" s="73">
        <f>VLOOKUP(L58,'[1]POS_EAD_0112 a 3101_CAMP. REG)'!$F$5:$Q$231,12,FALSE)</f>
        <v>82.93</v>
      </c>
      <c r="W58" s="121" t="s">
        <v>180</v>
      </c>
      <c r="X58" s="69" t="s">
        <v>19</v>
      </c>
      <c r="Y58" s="69" t="str">
        <f>VLOOKUP(W58,'[1]POS_EAD_0112 a 3101_CAMP. REG)'!$F$231:$G$461,2,FALSE)</f>
        <v>Humanas</v>
      </c>
      <c r="Z58" s="68">
        <f>VLOOKUP(W58,'[1]POS_EAD_0112 a 3101_CAMP. REG)'!$F$231:$H$461,3,FALSE)</f>
        <v>12</v>
      </c>
      <c r="AA58" s="68">
        <f>VLOOKUP(W58,'[1]POS_EAD_0112 a 3101_CAMP. REG)'!$F$231:$I$461,4,FALSE)</f>
        <v>19</v>
      </c>
      <c r="AB58" s="73">
        <f>VLOOKUP(W58,'[1]POS_EAD_0112 a 3101_CAMP. REG)'!$F$231:$J$461,5,FALSE)</f>
        <v>207.609666</v>
      </c>
      <c r="AC58" s="72">
        <f>VLOOKUP(W58,'[1]POS_EAD_0112 a 3101_CAMP. REG)'!$F$231:$L$461,7,FALSE)</f>
        <v>0.45</v>
      </c>
      <c r="AD58" s="73">
        <f>VLOOKUP(W58,'[1]POS_EAD_0112 a 3101_CAMP. REG)'!$F$231:$M$461,8,FALSE)</f>
        <v>102.77</v>
      </c>
      <c r="AE58" s="72">
        <f>VLOOKUP(W58,'[1]POS_EAD_0112 a 3101_CAMP. REG)'!$F$231:$P$461,11,FALSE)</f>
        <v>0.5</v>
      </c>
      <c r="AF58" s="73">
        <f>VLOOKUP(W58,'[1]POS_EAD_0112 a 3101_CAMP. REG)'!$F$231:$Q$461,12,FALSE)</f>
        <v>93.42</v>
      </c>
      <c r="AH58" s="121" t="s">
        <v>180</v>
      </c>
      <c r="AI58" s="69" t="s">
        <v>19</v>
      </c>
      <c r="AJ58" s="68" t="str">
        <f>VLOOKUP(UNG[[#This Row],[CURSO]],'[1]POS_EAD_0112 a 3101_CAMP. REG)'!$F$463:$G$688,2,FALSE)</f>
        <v>Humanas</v>
      </c>
      <c r="AK58" s="68">
        <f>VLOOKUP(UNG[[#This Row],[CURSO]],'[1]POS_EAD_0112 a 3101_CAMP. REG)'!$F$463:$H$688,3,FALSE)</f>
        <v>12</v>
      </c>
      <c r="AL58" s="68">
        <f>VLOOKUP(UNG[[#This Row],[CURSO]],'[1]POS_EAD_0112 a 3101_CAMP. REG)'!$F$463:$I$688,4,FALSE)</f>
        <v>19</v>
      </c>
      <c r="AM58" s="71">
        <f>VLOOKUP(UNG[[#This Row],[CURSO]],'[1]POS_EAD_0112 a 3101_CAMP. REG)'!$F$463:$J$688,5,FALSE)</f>
        <v>184.28091221052631</v>
      </c>
      <c r="AN58" s="124">
        <f>VLOOKUP(UNG[[#This Row],[CURSO]],'[1]POS_EAD_0112 a 3101_CAMP. REG)'!$F$463:$L$688,7,FALSE)</f>
        <v>0.45</v>
      </c>
      <c r="AO58" s="71">
        <f>VLOOKUP(UNG[[#This Row],[CURSO]],'[1]POS_EAD_0112 a 3101_CAMP. REG)'!$F$463:$M$688,8,FALSE)</f>
        <v>91.22</v>
      </c>
      <c r="AP58" s="124">
        <f>VLOOKUP(UNG[[#This Row],[CURSO]],'[1]POS_EAD_0112 a 3101_CAMP. REG)'!$F$463:$P$688,11,FALSE)</f>
        <v>0.5</v>
      </c>
      <c r="AQ58" s="71">
        <f>VLOOKUP(UNG[[#This Row],[CURSO]],'[1]POS_EAD_0112 a 3101_CAMP. REG)'!$F$463:$Q$688,12,FALSE)</f>
        <v>82.93</v>
      </c>
      <c r="AS58" s="121" t="s">
        <v>180</v>
      </c>
      <c r="AT58" s="69" t="s">
        <v>19</v>
      </c>
      <c r="AU58" s="69" t="str">
        <f>VLOOKUP(UNINASSAU[[#This Row],[CURSO]],'[1]POS_EAD_0112 a 3101_CAMP. REG)'!$F$690:$G$915,2,FALSE)</f>
        <v>Humanas</v>
      </c>
      <c r="AV58" s="69">
        <f>VLOOKUP(UNINASSAU[[#This Row],[CURSO]],'[1]POS_EAD_0112 a 3101_CAMP. REG)'!$F$690:$H$915,3,FALSE)</f>
        <v>12</v>
      </c>
      <c r="AW58" s="69">
        <f>VLOOKUP(UNINASSAU[[#This Row],[CURSO]],'[1]POS_EAD_0112 a 3101_CAMP. REG)'!$F$690:$I$915,4,FALSE)</f>
        <v>19</v>
      </c>
      <c r="AX58" s="73">
        <f>VLOOKUP(UNINASSAU[[#This Row],[CURSO]],'[1]POS_EAD_0112 a 3101_CAMP. REG)'!$F$690:$J$915,5,FALSE)</f>
        <v>184.28091221052631</v>
      </c>
      <c r="AY58" s="72">
        <f>VLOOKUP(UNINASSAU[[#This Row],[CURSO]],'[1]POS_EAD_0112 a 3101_CAMP. REG)'!$F$690:$L$915,7,FALSE)</f>
        <v>0.45</v>
      </c>
      <c r="AZ58" s="73">
        <f>VLOOKUP(UNINASSAU[[#This Row],[CURSO]],'[1]POS_EAD_0112 a 3101_CAMP. REG)'!$F$690:$N$915,8,FALSE)</f>
        <v>91.22</v>
      </c>
      <c r="BA58" s="72">
        <f>VLOOKUP(UNINASSAU[[#This Row],[CURSO]],'[1]POS_EAD_0112 a 3101_CAMP. REG)'!$F$690:$P$915,11,FALSE)</f>
        <v>0.5</v>
      </c>
      <c r="BB58" s="73">
        <f>VLOOKUP(UNINASSAU[[#This Row],[CURSO]],'[1]POS_EAD_0112 a 3101_CAMP. REG)'!$F$690:$Q$915,12,FALSE)</f>
        <v>82.93</v>
      </c>
      <c r="BD58" s="104">
        <v>55</v>
      </c>
      <c r="BE58" s="121" t="s">
        <v>180</v>
      </c>
      <c r="BF58" s="69" t="s">
        <v>19</v>
      </c>
    </row>
    <row r="59" spans="12:58" x14ac:dyDescent="0.25">
      <c r="L59" s="121" t="s">
        <v>90</v>
      </c>
      <c r="M59" s="69" t="s">
        <v>19</v>
      </c>
      <c r="N59" s="69" t="str">
        <f>VLOOKUP($L$4,'[1]POS_EAD_0112 a 3101_CAMP. REG)'!$F$5:$G$231,2,FALSE)</f>
        <v>Humanas</v>
      </c>
      <c r="O59" s="69">
        <f>VLOOKUP(L59,'[1]POS_EAD_0112 a 3101_CAMP. REG)'!$F$5:$H$231,3,FALSE)</f>
        <v>12</v>
      </c>
      <c r="P59" s="68">
        <f>VLOOKUP(L59,'[1]POS_EAD_0112 a 3101_CAMP. REG)'!$F$5:$I$231,4,FALSE)</f>
        <v>19</v>
      </c>
      <c r="Q59" s="73">
        <f>VLOOKUP(L59,'[1]POS_EAD_0112 a 3101_CAMP. REG)'!$F$5:$J$231,5,FALSE)</f>
        <v>277.58266800000001</v>
      </c>
      <c r="R59" s="124">
        <f>VLOOKUP(L59,'[1]POS_EAD_0112 a 3101_CAMP. REG)'!$F$5:$L$231,7,FALSE)</f>
        <v>0.45</v>
      </c>
      <c r="S59" s="73">
        <f>VLOOKUP(L59,'[1]POS_EAD_0112 a 3101_CAMP. REG)'!$F$5:$M$231,8,FALSE)</f>
        <v>137.4</v>
      </c>
      <c r="T59" s="124">
        <f>VLOOKUP(L59,'[1]POS_EAD_0112 a 3101_CAMP. REG)'!$F$5:$P$231,11,FALSE)</f>
        <v>0.5</v>
      </c>
      <c r="U59" s="73">
        <f>VLOOKUP(L59,'[1]POS_EAD_0112 a 3101_CAMP. REG)'!$F$5:$Q$231,12,FALSE)</f>
        <v>124.91</v>
      </c>
      <c r="W59" s="121" t="s">
        <v>90</v>
      </c>
      <c r="X59" s="69" t="s">
        <v>19</v>
      </c>
      <c r="Y59" s="69" t="str">
        <f>VLOOKUP(W59,'[1]POS_EAD_0112 a 3101_CAMP. REG)'!$F$231:$G$461,2,FALSE)</f>
        <v>Exatas</v>
      </c>
      <c r="Z59" s="68">
        <f>VLOOKUP(W59,'[1]POS_EAD_0112 a 3101_CAMP. REG)'!$F$231:$H$461,3,FALSE)</f>
        <v>12</v>
      </c>
      <c r="AA59" s="68">
        <f>VLOOKUP(W59,'[1]POS_EAD_0112 a 3101_CAMP. REG)'!$F$231:$I$461,4,FALSE)</f>
        <v>19</v>
      </c>
      <c r="AB59" s="73">
        <f>VLOOKUP(W59,'[1]POS_EAD_0112 a 3101_CAMP. REG)'!$F$231:$J$461,5,FALSE)</f>
        <v>300.91749900000002</v>
      </c>
      <c r="AC59" s="72">
        <f>VLOOKUP(W59,'[1]POS_EAD_0112 a 3101_CAMP. REG)'!$F$231:$L$461,7,FALSE)</f>
        <v>0.45</v>
      </c>
      <c r="AD59" s="73">
        <f>VLOOKUP(W59,'[1]POS_EAD_0112 a 3101_CAMP. REG)'!$F$231:$M$461,8,FALSE)</f>
        <v>148.94999999999999</v>
      </c>
      <c r="AE59" s="72">
        <f>VLOOKUP(W59,'[1]POS_EAD_0112 a 3101_CAMP. REG)'!$F$231:$P$461,11,FALSE)</f>
        <v>0.5</v>
      </c>
      <c r="AF59" s="73">
        <f>VLOOKUP(W59,'[1]POS_EAD_0112 a 3101_CAMP. REG)'!$F$231:$Q$461,12,FALSE)</f>
        <v>135.41</v>
      </c>
      <c r="AH59" s="121" t="s">
        <v>90</v>
      </c>
      <c r="AI59" s="69" t="s">
        <v>19</v>
      </c>
      <c r="AJ59" s="68" t="str">
        <f>VLOOKUP(UNG[[#This Row],[CURSO]],'[1]POS_EAD_0112 a 3101_CAMP. REG)'!$F$463:$G$688,2,FALSE)</f>
        <v>Exatas</v>
      </c>
      <c r="AK59" s="68">
        <f>VLOOKUP(UNG[[#This Row],[CURSO]],'[1]POS_EAD_0112 a 3101_CAMP. REG)'!$F$463:$H$688,3,FALSE)</f>
        <v>12</v>
      </c>
      <c r="AL59" s="68">
        <f>VLOOKUP(UNG[[#This Row],[CURSO]],'[1]POS_EAD_0112 a 3101_CAMP. REG)'!$F$463:$I$688,4,FALSE)</f>
        <v>19</v>
      </c>
      <c r="AM59" s="71">
        <f>VLOOKUP(UNG[[#This Row],[CURSO]],'[1]POS_EAD_0112 a 3101_CAMP. REG)'!$F$463:$J$688,5,FALSE)</f>
        <v>277.58266800000001</v>
      </c>
      <c r="AN59" s="124">
        <f>VLOOKUP(UNG[[#This Row],[CURSO]],'[1]POS_EAD_0112 a 3101_CAMP. REG)'!$F$463:$L$688,7,FALSE)</f>
        <v>0.45</v>
      </c>
      <c r="AO59" s="71">
        <f>VLOOKUP(UNG[[#This Row],[CURSO]],'[1]POS_EAD_0112 a 3101_CAMP. REG)'!$F$463:$M$688,8,FALSE)</f>
        <v>137.4</v>
      </c>
      <c r="AP59" s="124">
        <f>VLOOKUP(UNG[[#This Row],[CURSO]],'[1]POS_EAD_0112 a 3101_CAMP. REG)'!$F$463:$P$688,11,FALSE)</f>
        <v>0.5</v>
      </c>
      <c r="AQ59" s="71">
        <f>VLOOKUP(UNG[[#This Row],[CURSO]],'[1]POS_EAD_0112 a 3101_CAMP. REG)'!$F$463:$Q$688,12,FALSE)</f>
        <v>124.91</v>
      </c>
      <c r="AS59" s="121" t="s">
        <v>90</v>
      </c>
      <c r="AT59" s="69" t="s">
        <v>19</v>
      </c>
      <c r="AU59" s="69" t="str">
        <f>VLOOKUP(UNINASSAU[[#This Row],[CURSO]],'[1]POS_EAD_0112 a 3101_CAMP. REG)'!$F$690:$G$915,2,FALSE)</f>
        <v>Exatas</v>
      </c>
      <c r="AV59" s="69">
        <f>VLOOKUP(UNINASSAU[[#This Row],[CURSO]],'[1]POS_EAD_0112 a 3101_CAMP. REG)'!$F$690:$H$915,3,FALSE)</f>
        <v>12</v>
      </c>
      <c r="AW59" s="69">
        <f>VLOOKUP(UNINASSAU[[#This Row],[CURSO]],'[1]POS_EAD_0112 a 3101_CAMP. REG)'!$F$690:$I$915,4,FALSE)</f>
        <v>19</v>
      </c>
      <c r="AX59" s="73">
        <f>VLOOKUP(UNINASSAU[[#This Row],[CURSO]],'[1]POS_EAD_0112 a 3101_CAMP. REG)'!$F$690:$J$915,5,FALSE)</f>
        <v>277.58266800000001</v>
      </c>
      <c r="AY59" s="72">
        <f>VLOOKUP(UNINASSAU[[#This Row],[CURSO]],'[1]POS_EAD_0112 a 3101_CAMP. REG)'!$F$690:$L$915,7,FALSE)</f>
        <v>0.45</v>
      </c>
      <c r="AZ59" s="73">
        <f>VLOOKUP(UNINASSAU[[#This Row],[CURSO]],'[1]POS_EAD_0112 a 3101_CAMP. REG)'!$F$690:$N$915,8,FALSE)</f>
        <v>137.4</v>
      </c>
      <c r="BA59" s="72">
        <f>VLOOKUP(UNINASSAU[[#This Row],[CURSO]],'[1]POS_EAD_0112 a 3101_CAMP. REG)'!$F$690:$P$915,11,FALSE)</f>
        <v>0.5</v>
      </c>
      <c r="BB59" s="73">
        <f>VLOOKUP(UNINASSAU[[#This Row],[CURSO]],'[1]POS_EAD_0112 a 3101_CAMP. REG)'!$F$690:$Q$915,12,FALSE)</f>
        <v>124.91</v>
      </c>
      <c r="BD59" s="104">
        <v>56</v>
      </c>
      <c r="BE59" s="121" t="s">
        <v>90</v>
      </c>
      <c r="BF59" s="69" t="s">
        <v>19</v>
      </c>
    </row>
    <row r="60" spans="12:58" x14ac:dyDescent="0.25">
      <c r="L60" s="121" t="s">
        <v>54</v>
      </c>
      <c r="M60" s="69" t="s">
        <v>19</v>
      </c>
      <c r="N60" s="69" t="str">
        <f>VLOOKUP($L$4,'[1]POS_EAD_0112 a 3101_CAMP. REG)'!$F$5:$G$231,2,FALSE)</f>
        <v>Humanas</v>
      </c>
      <c r="O60" s="69">
        <f>VLOOKUP(L60,'[1]POS_EAD_0112 a 3101_CAMP. REG)'!$F$5:$H$231,3,FALSE)</f>
        <v>6</v>
      </c>
      <c r="P60" s="68">
        <f>VLOOKUP(L60,'[1]POS_EAD_0112 a 3101_CAMP. REG)'!$F$5:$I$231,4,FALSE)</f>
        <v>13</v>
      </c>
      <c r="Q60" s="73">
        <f>VLOOKUP(L60,'[1]POS_EAD_0112 a 3101_CAMP. REG)'!$F$5:$J$231,5,FALSE)</f>
        <v>405.70905000000005</v>
      </c>
      <c r="R60" s="124">
        <f>VLOOKUP(L60,'[1]POS_EAD_0112 a 3101_CAMP. REG)'!$F$5:$L$231,7,FALSE)</f>
        <v>0.45</v>
      </c>
      <c r="S60" s="73">
        <f>VLOOKUP(L60,'[1]POS_EAD_0112 a 3101_CAMP. REG)'!$F$5:$M$231,8,FALSE)</f>
        <v>200.83</v>
      </c>
      <c r="T60" s="124">
        <f>VLOOKUP(L60,'[1]POS_EAD_0112 a 3101_CAMP. REG)'!$F$5:$P$231,11,FALSE)</f>
        <v>0.5</v>
      </c>
      <c r="U60" s="73">
        <f>VLOOKUP(L60,'[1]POS_EAD_0112 a 3101_CAMP. REG)'!$F$5:$Q$231,12,FALSE)</f>
        <v>182.57</v>
      </c>
      <c r="W60" s="121" t="s">
        <v>54</v>
      </c>
      <c r="X60" s="69" t="s">
        <v>19</v>
      </c>
      <c r="Y60" s="69" t="str">
        <f>VLOOKUP(W60,'[1]POS_EAD_0112 a 3101_CAMP. REG)'!$F$231:$G$461,2,FALSE)</f>
        <v>Saúde</v>
      </c>
      <c r="Z60" s="68">
        <f>VLOOKUP(W60,'[1]POS_EAD_0112 a 3101_CAMP. REG)'!$F$231:$H$461,3,FALSE)</f>
        <v>6</v>
      </c>
      <c r="AA60" s="68">
        <f>VLOOKUP(W60,'[1]POS_EAD_0112 a 3101_CAMP. REG)'!$F$231:$I$461,4,FALSE)</f>
        <v>13</v>
      </c>
      <c r="AB60" s="73">
        <f>VLOOKUP(W60,'[1]POS_EAD_0112 a 3101_CAMP. REG)'!$F$231:$J$461,5,FALSE)</f>
        <v>439.79280900000003</v>
      </c>
      <c r="AC60" s="72">
        <f>VLOOKUP(W60,'[1]POS_EAD_0112 a 3101_CAMP. REG)'!$F$231:$L$461,7,FALSE)</f>
        <v>0.45</v>
      </c>
      <c r="AD60" s="73">
        <f>VLOOKUP(W60,'[1]POS_EAD_0112 a 3101_CAMP. REG)'!$F$231:$M$461,8,FALSE)</f>
        <v>217.7</v>
      </c>
      <c r="AE60" s="72">
        <f>VLOOKUP(W60,'[1]POS_EAD_0112 a 3101_CAMP. REG)'!$F$231:$P$461,11,FALSE)</f>
        <v>0.5</v>
      </c>
      <c r="AF60" s="73">
        <f>VLOOKUP(W60,'[1]POS_EAD_0112 a 3101_CAMP. REG)'!$F$231:$Q$461,12,FALSE)</f>
        <v>197.91</v>
      </c>
      <c r="AH60" s="121" t="s">
        <v>54</v>
      </c>
      <c r="AI60" s="69" t="s">
        <v>19</v>
      </c>
      <c r="AJ60" s="68" t="str">
        <f>VLOOKUP(UNG[[#This Row],[CURSO]],'[1]POS_EAD_0112 a 3101_CAMP. REG)'!$F$463:$G$688,2,FALSE)</f>
        <v>Saúde</v>
      </c>
      <c r="AK60" s="68">
        <f>VLOOKUP(UNG[[#This Row],[CURSO]],'[1]POS_EAD_0112 a 3101_CAMP. REG)'!$F$463:$H$688,3,FALSE)</f>
        <v>6</v>
      </c>
      <c r="AL60" s="68">
        <f>VLOOKUP(UNG[[#This Row],[CURSO]],'[1]POS_EAD_0112 a 3101_CAMP. REG)'!$F$463:$I$688,4,FALSE)</f>
        <v>13</v>
      </c>
      <c r="AM60" s="71">
        <f>VLOOKUP(UNG[[#This Row],[CURSO]],'[1]POS_EAD_0112 a 3101_CAMP. REG)'!$F$463:$J$688,5,FALSE)</f>
        <v>405.70905000000005</v>
      </c>
      <c r="AN60" s="124">
        <f>VLOOKUP(UNG[[#This Row],[CURSO]],'[1]POS_EAD_0112 a 3101_CAMP. REG)'!$F$463:$L$688,7,FALSE)</f>
        <v>0.45</v>
      </c>
      <c r="AO60" s="71">
        <f>VLOOKUP(UNG[[#This Row],[CURSO]],'[1]POS_EAD_0112 a 3101_CAMP. REG)'!$F$463:$M$688,8,FALSE)</f>
        <v>200.83</v>
      </c>
      <c r="AP60" s="124">
        <f>VLOOKUP(UNG[[#This Row],[CURSO]],'[1]POS_EAD_0112 a 3101_CAMP. REG)'!$F$463:$P$688,11,FALSE)</f>
        <v>0.5</v>
      </c>
      <c r="AQ60" s="71">
        <f>VLOOKUP(UNG[[#This Row],[CURSO]],'[1]POS_EAD_0112 a 3101_CAMP. REG)'!$F$463:$Q$688,12,FALSE)</f>
        <v>182.57</v>
      </c>
      <c r="AS60" s="121" t="s">
        <v>54</v>
      </c>
      <c r="AT60" s="69" t="s">
        <v>19</v>
      </c>
      <c r="AU60" s="69" t="str">
        <f>VLOOKUP(UNINASSAU[[#This Row],[CURSO]],'[1]POS_EAD_0112 a 3101_CAMP. REG)'!$F$690:$G$915,2,FALSE)</f>
        <v>Saúde</v>
      </c>
      <c r="AV60" s="69">
        <f>VLOOKUP(UNINASSAU[[#This Row],[CURSO]],'[1]POS_EAD_0112 a 3101_CAMP. REG)'!$F$690:$H$915,3,FALSE)</f>
        <v>6</v>
      </c>
      <c r="AW60" s="69">
        <f>VLOOKUP(UNINASSAU[[#This Row],[CURSO]],'[1]POS_EAD_0112 a 3101_CAMP. REG)'!$F$690:$I$915,4,FALSE)</f>
        <v>13</v>
      </c>
      <c r="AX60" s="73">
        <f>VLOOKUP(UNINASSAU[[#This Row],[CURSO]],'[1]POS_EAD_0112 a 3101_CAMP. REG)'!$F$690:$J$915,5,FALSE)</f>
        <v>405.70905000000005</v>
      </c>
      <c r="AY60" s="72">
        <f>VLOOKUP(UNINASSAU[[#This Row],[CURSO]],'[1]POS_EAD_0112 a 3101_CAMP. REG)'!$F$690:$L$915,7,FALSE)</f>
        <v>0.45</v>
      </c>
      <c r="AZ60" s="73">
        <f>VLOOKUP(UNINASSAU[[#This Row],[CURSO]],'[1]POS_EAD_0112 a 3101_CAMP. REG)'!$F$690:$N$915,8,FALSE)</f>
        <v>200.83</v>
      </c>
      <c r="BA60" s="72">
        <f>VLOOKUP(UNINASSAU[[#This Row],[CURSO]],'[1]POS_EAD_0112 a 3101_CAMP. REG)'!$F$690:$P$915,11,FALSE)</f>
        <v>0.5</v>
      </c>
      <c r="BB60" s="73">
        <f>VLOOKUP(UNINASSAU[[#This Row],[CURSO]],'[1]POS_EAD_0112 a 3101_CAMP. REG)'!$F$690:$Q$915,12,FALSE)</f>
        <v>182.57</v>
      </c>
      <c r="BD60" s="104">
        <v>57</v>
      </c>
      <c r="BE60" s="121" t="s">
        <v>54</v>
      </c>
      <c r="BF60" s="69" t="s">
        <v>19</v>
      </c>
    </row>
    <row r="61" spans="12:58" x14ac:dyDescent="0.25">
      <c r="L61" s="121" t="s">
        <v>97</v>
      </c>
      <c r="M61" s="69" t="s">
        <v>19</v>
      </c>
      <c r="N61" s="69" t="str">
        <f>VLOOKUP($L$4,'[1]POS_EAD_0112 a 3101_CAMP. REG)'!$F$5:$G$231,2,FALSE)</f>
        <v>Humanas</v>
      </c>
      <c r="O61" s="69">
        <f>VLOOKUP(L61,'[1]POS_EAD_0112 a 3101_CAMP. REG)'!$F$5:$H$231,3,FALSE)</f>
        <v>6</v>
      </c>
      <c r="P61" s="68">
        <f>VLOOKUP(L61,'[1]POS_EAD_0112 a 3101_CAMP. REG)'!$F$5:$I$231,4,FALSE)</f>
        <v>13</v>
      </c>
      <c r="Q61" s="73">
        <f>VLOOKUP(L61,'[1]POS_EAD_0112 a 3101_CAMP. REG)'!$F$5:$J$231,5,FALSE)</f>
        <v>405.70905000000005</v>
      </c>
      <c r="R61" s="124">
        <f>VLOOKUP(L61,'[1]POS_EAD_0112 a 3101_CAMP. REG)'!$F$5:$L$231,7,FALSE)</f>
        <v>0.45</v>
      </c>
      <c r="S61" s="73">
        <f>VLOOKUP(L61,'[1]POS_EAD_0112 a 3101_CAMP. REG)'!$F$5:$M$231,8,FALSE)</f>
        <v>200.83</v>
      </c>
      <c r="T61" s="124">
        <f>VLOOKUP(L61,'[1]POS_EAD_0112 a 3101_CAMP. REG)'!$F$5:$P$231,11,FALSE)</f>
        <v>0.5</v>
      </c>
      <c r="U61" s="73">
        <f>VLOOKUP(L61,'[1]POS_EAD_0112 a 3101_CAMP. REG)'!$F$5:$Q$231,12,FALSE)</f>
        <v>182.57</v>
      </c>
      <c r="W61" s="121" t="s">
        <v>97</v>
      </c>
      <c r="X61" s="69" t="s">
        <v>19</v>
      </c>
      <c r="Y61" s="69" t="str">
        <f>VLOOKUP(W61,'[1]POS_EAD_0112 a 3101_CAMP. REG)'!$F$231:$G$461,2,FALSE)</f>
        <v>Saúde</v>
      </c>
      <c r="Z61" s="68">
        <f>VLOOKUP(W61,'[1]POS_EAD_0112 a 3101_CAMP. REG)'!$F$231:$H$461,3,FALSE)</f>
        <v>6</v>
      </c>
      <c r="AA61" s="68">
        <f>VLOOKUP(W61,'[1]POS_EAD_0112 a 3101_CAMP. REG)'!$F$231:$I$461,4,FALSE)</f>
        <v>13</v>
      </c>
      <c r="AB61" s="73">
        <f>VLOOKUP(W61,'[1]POS_EAD_0112 a 3101_CAMP. REG)'!$F$231:$J$461,5,FALSE)</f>
        <v>439.79280900000003</v>
      </c>
      <c r="AC61" s="72">
        <f>VLOOKUP(W61,'[1]POS_EAD_0112 a 3101_CAMP. REG)'!$F$231:$L$461,7,FALSE)</f>
        <v>0.45</v>
      </c>
      <c r="AD61" s="73">
        <f>VLOOKUP(W61,'[1]POS_EAD_0112 a 3101_CAMP. REG)'!$F$231:$M$461,8,FALSE)</f>
        <v>217.7</v>
      </c>
      <c r="AE61" s="72">
        <f>VLOOKUP(W61,'[1]POS_EAD_0112 a 3101_CAMP. REG)'!$F$231:$P$461,11,FALSE)</f>
        <v>0.5</v>
      </c>
      <c r="AF61" s="73">
        <f>VLOOKUP(W61,'[1]POS_EAD_0112 a 3101_CAMP. REG)'!$F$231:$Q$461,12,FALSE)</f>
        <v>197.91</v>
      </c>
      <c r="AH61" s="121" t="s">
        <v>97</v>
      </c>
      <c r="AI61" s="69" t="s">
        <v>19</v>
      </c>
      <c r="AJ61" s="68" t="str">
        <f>VLOOKUP(UNG[[#This Row],[CURSO]],'[1]POS_EAD_0112 a 3101_CAMP. REG)'!$F$463:$G$688,2,FALSE)</f>
        <v>Saúde</v>
      </c>
      <c r="AK61" s="68">
        <f>VLOOKUP(UNG[[#This Row],[CURSO]],'[1]POS_EAD_0112 a 3101_CAMP. REG)'!$F$463:$H$688,3,FALSE)</f>
        <v>6</v>
      </c>
      <c r="AL61" s="68">
        <f>VLOOKUP(UNG[[#This Row],[CURSO]],'[1]POS_EAD_0112 a 3101_CAMP. REG)'!$F$463:$I$688,4,FALSE)</f>
        <v>13</v>
      </c>
      <c r="AM61" s="71">
        <f>VLOOKUP(UNG[[#This Row],[CURSO]],'[1]POS_EAD_0112 a 3101_CAMP. REG)'!$F$463:$J$688,5,FALSE)</f>
        <v>405.70905000000005</v>
      </c>
      <c r="AN61" s="124">
        <f>VLOOKUP(UNG[[#This Row],[CURSO]],'[1]POS_EAD_0112 a 3101_CAMP. REG)'!$F$463:$L$688,7,FALSE)</f>
        <v>0.45</v>
      </c>
      <c r="AO61" s="71">
        <f>VLOOKUP(UNG[[#This Row],[CURSO]],'[1]POS_EAD_0112 a 3101_CAMP. REG)'!$F$463:$M$688,8,FALSE)</f>
        <v>200.83</v>
      </c>
      <c r="AP61" s="124">
        <f>VLOOKUP(UNG[[#This Row],[CURSO]],'[1]POS_EAD_0112 a 3101_CAMP. REG)'!$F$463:$P$688,11,FALSE)</f>
        <v>0.5</v>
      </c>
      <c r="AQ61" s="71">
        <f>VLOOKUP(UNG[[#This Row],[CURSO]],'[1]POS_EAD_0112 a 3101_CAMP. REG)'!$F$463:$Q$688,12,FALSE)</f>
        <v>182.57</v>
      </c>
      <c r="AS61" s="121" t="s">
        <v>97</v>
      </c>
      <c r="AT61" s="69" t="s">
        <v>19</v>
      </c>
      <c r="AU61" s="69" t="str">
        <f>VLOOKUP(UNINASSAU[[#This Row],[CURSO]],'[1]POS_EAD_0112 a 3101_CAMP. REG)'!$F$690:$G$915,2,FALSE)</f>
        <v>Saúde</v>
      </c>
      <c r="AV61" s="69">
        <f>VLOOKUP(UNINASSAU[[#This Row],[CURSO]],'[1]POS_EAD_0112 a 3101_CAMP. REG)'!$F$690:$H$915,3,FALSE)</f>
        <v>6</v>
      </c>
      <c r="AW61" s="69">
        <f>VLOOKUP(UNINASSAU[[#This Row],[CURSO]],'[1]POS_EAD_0112 a 3101_CAMP. REG)'!$F$690:$I$915,4,FALSE)</f>
        <v>13</v>
      </c>
      <c r="AX61" s="73">
        <f>VLOOKUP(UNINASSAU[[#This Row],[CURSO]],'[1]POS_EAD_0112 a 3101_CAMP. REG)'!$F$690:$J$915,5,FALSE)</f>
        <v>405.70905000000005</v>
      </c>
      <c r="AY61" s="72">
        <f>VLOOKUP(UNINASSAU[[#This Row],[CURSO]],'[1]POS_EAD_0112 a 3101_CAMP. REG)'!$F$690:$L$915,7,FALSE)</f>
        <v>0.45</v>
      </c>
      <c r="AZ61" s="73">
        <f>VLOOKUP(UNINASSAU[[#This Row],[CURSO]],'[1]POS_EAD_0112 a 3101_CAMP. REG)'!$F$690:$N$915,8,FALSE)</f>
        <v>200.83</v>
      </c>
      <c r="BA61" s="72">
        <f>VLOOKUP(UNINASSAU[[#This Row],[CURSO]],'[1]POS_EAD_0112 a 3101_CAMP. REG)'!$F$690:$P$915,11,FALSE)</f>
        <v>0.5</v>
      </c>
      <c r="BB61" s="73">
        <f>VLOOKUP(UNINASSAU[[#This Row],[CURSO]],'[1]POS_EAD_0112 a 3101_CAMP. REG)'!$F$690:$Q$915,12,FALSE)</f>
        <v>182.57</v>
      </c>
      <c r="BD61" s="104">
        <v>58</v>
      </c>
      <c r="BE61" s="121" t="s">
        <v>97</v>
      </c>
      <c r="BF61" s="69" t="s">
        <v>19</v>
      </c>
    </row>
    <row r="62" spans="12:58" x14ac:dyDescent="0.25">
      <c r="L62" s="121" t="s">
        <v>135</v>
      </c>
      <c r="M62" s="69" t="s">
        <v>19</v>
      </c>
      <c r="N62" s="69" t="str">
        <f>VLOOKUP($L$4,'[1]POS_EAD_0112 a 3101_CAMP. REG)'!$F$5:$G$231,2,FALSE)</f>
        <v>Humanas</v>
      </c>
      <c r="O62" s="69">
        <f>VLOOKUP(L62,'[1]POS_EAD_0112 a 3101_CAMP. REG)'!$F$5:$H$231,3,FALSE)</f>
        <v>6</v>
      </c>
      <c r="P62" s="68">
        <f>VLOOKUP(L62,'[1]POS_EAD_0112 a 3101_CAMP. REG)'!$F$5:$I$231,4,FALSE)</f>
        <v>13</v>
      </c>
      <c r="Q62" s="73">
        <f>VLOOKUP(L62,'[1]POS_EAD_0112 a 3101_CAMP. REG)'!$F$5:$J$231,5,FALSE)</f>
        <v>405.70905000000005</v>
      </c>
      <c r="R62" s="124">
        <f>VLOOKUP(L62,'[1]POS_EAD_0112 a 3101_CAMP. REG)'!$F$5:$L$231,7,FALSE)</f>
        <v>0.45</v>
      </c>
      <c r="S62" s="73">
        <f>VLOOKUP(L62,'[1]POS_EAD_0112 a 3101_CAMP. REG)'!$F$5:$M$231,8,FALSE)</f>
        <v>200.83</v>
      </c>
      <c r="T62" s="124">
        <f>VLOOKUP(L62,'[1]POS_EAD_0112 a 3101_CAMP. REG)'!$F$5:$P$231,11,FALSE)</f>
        <v>0.5</v>
      </c>
      <c r="U62" s="73">
        <f>VLOOKUP(L62,'[1]POS_EAD_0112 a 3101_CAMP. REG)'!$F$5:$Q$231,12,FALSE)</f>
        <v>182.57</v>
      </c>
      <c r="W62" s="121" t="s">
        <v>135</v>
      </c>
      <c r="X62" s="69" t="s">
        <v>19</v>
      </c>
      <c r="Y62" s="69" t="str">
        <f>VLOOKUP(W62,'[1]POS_EAD_0112 a 3101_CAMP. REG)'!$F$231:$G$461,2,FALSE)</f>
        <v>Humanas</v>
      </c>
      <c r="Z62" s="68">
        <f>VLOOKUP(W62,'[1]POS_EAD_0112 a 3101_CAMP. REG)'!$F$231:$H$461,3,FALSE)</f>
        <v>6</v>
      </c>
      <c r="AA62" s="68">
        <f>VLOOKUP(W62,'[1]POS_EAD_0112 a 3101_CAMP. REG)'!$F$231:$I$461,4,FALSE)</f>
        <v>13</v>
      </c>
      <c r="AB62" s="73">
        <f>VLOOKUP(W62,'[1]POS_EAD_0112 a 3101_CAMP. REG)'!$F$231:$J$461,5,FALSE)</f>
        <v>439.79280900000003</v>
      </c>
      <c r="AC62" s="72">
        <f>VLOOKUP(W62,'[1]POS_EAD_0112 a 3101_CAMP. REG)'!$F$231:$L$461,7,FALSE)</f>
        <v>0.45</v>
      </c>
      <c r="AD62" s="73">
        <f>VLOOKUP(W62,'[1]POS_EAD_0112 a 3101_CAMP. REG)'!$F$231:$M$461,8,FALSE)</f>
        <v>217.7</v>
      </c>
      <c r="AE62" s="72">
        <f>VLOOKUP(W62,'[1]POS_EAD_0112 a 3101_CAMP. REG)'!$F$231:$P$461,11,FALSE)</f>
        <v>0.5</v>
      </c>
      <c r="AF62" s="73">
        <f>VLOOKUP(W62,'[1]POS_EAD_0112 a 3101_CAMP. REG)'!$F$231:$Q$461,12,FALSE)</f>
        <v>197.91</v>
      </c>
      <c r="AH62" s="121" t="s">
        <v>135</v>
      </c>
      <c r="AI62" s="69" t="s">
        <v>19</v>
      </c>
      <c r="AJ62" s="68" t="str">
        <f>VLOOKUP(UNG[[#This Row],[CURSO]],'[1]POS_EAD_0112 a 3101_CAMP. REG)'!$F$463:$G$688,2,FALSE)</f>
        <v>Humanas</v>
      </c>
      <c r="AK62" s="68">
        <f>VLOOKUP(UNG[[#This Row],[CURSO]],'[1]POS_EAD_0112 a 3101_CAMP. REG)'!$F$463:$H$688,3,FALSE)</f>
        <v>6</v>
      </c>
      <c r="AL62" s="68">
        <f>VLOOKUP(UNG[[#This Row],[CURSO]],'[1]POS_EAD_0112 a 3101_CAMP. REG)'!$F$463:$I$688,4,FALSE)</f>
        <v>13</v>
      </c>
      <c r="AM62" s="71">
        <f>VLOOKUP(UNG[[#This Row],[CURSO]],'[1]POS_EAD_0112 a 3101_CAMP. REG)'!$F$463:$J$688,5,FALSE)</f>
        <v>405.70905000000005</v>
      </c>
      <c r="AN62" s="124">
        <f>VLOOKUP(UNG[[#This Row],[CURSO]],'[1]POS_EAD_0112 a 3101_CAMP. REG)'!$F$463:$L$688,7,FALSE)</f>
        <v>0.45</v>
      </c>
      <c r="AO62" s="71">
        <f>VLOOKUP(UNG[[#This Row],[CURSO]],'[1]POS_EAD_0112 a 3101_CAMP. REG)'!$F$463:$M$688,8,FALSE)</f>
        <v>200.83</v>
      </c>
      <c r="AP62" s="124">
        <f>VLOOKUP(UNG[[#This Row],[CURSO]],'[1]POS_EAD_0112 a 3101_CAMP. REG)'!$F$463:$P$688,11,FALSE)</f>
        <v>0.5</v>
      </c>
      <c r="AQ62" s="71">
        <f>VLOOKUP(UNG[[#This Row],[CURSO]],'[1]POS_EAD_0112 a 3101_CAMP. REG)'!$F$463:$Q$688,12,FALSE)</f>
        <v>182.57</v>
      </c>
      <c r="AS62" s="121" t="s">
        <v>135</v>
      </c>
      <c r="AT62" s="69" t="s">
        <v>19</v>
      </c>
      <c r="AU62" s="69" t="str">
        <f>VLOOKUP(UNINASSAU[[#This Row],[CURSO]],'[1]POS_EAD_0112 a 3101_CAMP. REG)'!$F$690:$G$915,2,FALSE)</f>
        <v>Humanas</v>
      </c>
      <c r="AV62" s="69">
        <f>VLOOKUP(UNINASSAU[[#This Row],[CURSO]],'[1]POS_EAD_0112 a 3101_CAMP. REG)'!$F$690:$H$915,3,FALSE)</f>
        <v>6</v>
      </c>
      <c r="AW62" s="69">
        <f>VLOOKUP(UNINASSAU[[#This Row],[CURSO]],'[1]POS_EAD_0112 a 3101_CAMP. REG)'!$F$690:$I$915,4,FALSE)</f>
        <v>13</v>
      </c>
      <c r="AX62" s="73">
        <f>VLOOKUP(UNINASSAU[[#This Row],[CURSO]],'[1]POS_EAD_0112 a 3101_CAMP. REG)'!$F$690:$J$915,5,FALSE)</f>
        <v>405.70905000000005</v>
      </c>
      <c r="AY62" s="72">
        <f>VLOOKUP(UNINASSAU[[#This Row],[CURSO]],'[1]POS_EAD_0112 a 3101_CAMP. REG)'!$F$690:$L$915,7,FALSE)</f>
        <v>0.45</v>
      </c>
      <c r="AZ62" s="73">
        <f>VLOOKUP(UNINASSAU[[#This Row],[CURSO]],'[1]POS_EAD_0112 a 3101_CAMP. REG)'!$F$690:$N$915,8,FALSE)</f>
        <v>200.83</v>
      </c>
      <c r="BA62" s="72">
        <f>VLOOKUP(UNINASSAU[[#This Row],[CURSO]],'[1]POS_EAD_0112 a 3101_CAMP. REG)'!$F$690:$P$915,11,FALSE)</f>
        <v>0.5</v>
      </c>
      <c r="BB62" s="73">
        <f>VLOOKUP(UNINASSAU[[#This Row],[CURSO]],'[1]POS_EAD_0112 a 3101_CAMP. REG)'!$F$690:$Q$915,12,FALSE)</f>
        <v>182.57</v>
      </c>
      <c r="BD62" s="104">
        <v>59</v>
      </c>
      <c r="BE62" s="121" t="s">
        <v>135</v>
      </c>
      <c r="BF62" s="69" t="s">
        <v>19</v>
      </c>
    </row>
    <row r="63" spans="12:58" x14ac:dyDescent="0.25">
      <c r="L63" s="121" t="s">
        <v>58</v>
      </c>
      <c r="M63" s="69" t="s">
        <v>19</v>
      </c>
      <c r="N63" s="69" t="str">
        <f>VLOOKUP($L$4,'[1]POS_EAD_0112 a 3101_CAMP. REG)'!$F$5:$G$231,2,FALSE)</f>
        <v>Humanas</v>
      </c>
      <c r="O63" s="69">
        <f>VLOOKUP(L63,'[1]POS_EAD_0112 a 3101_CAMP. REG)'!$F$5:$H$231,3,FALSE)</f>
        <v>6</v>
      </c>
      <c r="P63" s="68">
        <f>VLOOKUP(L63,'[1]POS_EAD_0112 a 3101_CAMP. REG)'!$F$5:$I$231,4,FALSE)</f>
        <v>13</v>
      </c>
      <c r="Q63" s="73">
        <f>VLOOKUP(L63,'[1]POS_EAD_0112 a 3101_CAMP. REG)'!$F$5:$J$231,5,FALSE)</f>
        <v>269.33202599999998</v>
      </c>
      <c r="R63" s="124">
        <f>VLOOKUP(L63,'[1]POS_EAD_0112 a 3101_CAMP. REG)'!$F$5:$L$231,7,FALSE)</f>
        <v>0.45</v>
      </c>
      <c r="S63" s="73">
        <f>VLOOKUP(L63,'[1]POS_EAD_0112 a 3101_CAMP. REG)'!$F$5:$M$231,8,FALSE)</f>
        <v>133.32</v>
      </c>
      <c r="T63" s="124">
        <f>VLOOKUP(L63,'[1]POS_EAD_0112 a 3101_CAMP. REG)'!$F$5:$P$231,11,FALSE)</f>
        <v>0.5</v>
      </c>
      <c r="U63" s="73">
        <f>VLOOKUP(L63,'[1]POS_EAD_0112 a 3101_CAMP. REG)'!$F$5:$Q$231,12,FALSE)</f>
        <v>121.2</v>
      </c>
      <c r="W63" s="121" t="s">
        <v>58</v>
      </c>
      <c r="X63" s="69" t="s">
        <v>19</v>
      </c>
      <c r="Y63" s="69" t="str">
        <f>VLOOKUP(W63,'[1]POS_EAD_0112 a 3101_CAMP. REG)'!$F$231:$G$461,2,FALSE)</f>
        <v>Exatas</v>
      </c>
      <c r="Z63" s="68">
        <f>VLOOKUP(W63,'[1]POS_EAD_0112 a 3101_CAMP. REG)'!$F$231:$H$461,3,FALSE)</f>
        <v>6</v>
      </c>
      <c r="AA63" s="68">
        <f>VLOOKUP(W63,'[1]POS_EAD_0112 a 3101_CAMP. REG)'!$F$231:$I$461,4,FALSE)</f>
        <v>13</v>
      </c>
      <c r="AB63" s="73">
        <f>VLOOKUP(W63,'[1]POS_EAD_0112 a 3101_CAMP. REG)'!$F$231:$J$461,5,FALSE)</f>
        <v>303.42628200000001</v>
      </c>
      <c r="AC63" s="72">
        <f>VLOOKUP(W63,'[1]POS_EAD_0112 a 3101_CAMP. REG)'!$F$231:$L$461,7,FALSE)</f>
        <v>0.45</v>
      </c>
      <c r="AD63" s="73">
        <f>VLOOKUP(W63,'[1]POS_EAD_0112 a 3101_CAMP. REG)'!$F$231:$M$461,8,FALSE)</f>
        <v>150.19999999999999</v>
      </c>
      <c r="AE63" s="72">
        <f>VLOOKUP(W63,'[1]POS_EAD_0112 a 3101_CAMP. REG)'!$F$231:$P$461,11,FALSE)</f>
        <v>0.5</v>
      </c>
      <c r="AF63" s="73">
        <f>VLOOKUP(W63,'[1]POS_EAD_0112 a 3101_CAMP. REG)'!$F$231:$Q$461,12,FALSE)</f>
        <v>136.54</v>
      </c>
      <c r="AH63" s="121" t="s">
        <v>58</v>
      </c>
      <c r="AI63" s="69" t="s">
        <v>19</v>
      </c>
      <c r="AJ63" s="68" t="str">
        <f>VLOOKUP(UNG[[#This Row],[CURSO]],'[1]POS_EAD_0112 a 3101_CAMP. REG)'!$F$463:$G$688,2,FALSE)</f>
        <v>Exatas</v>
      </c>
      <c r="AK63" s="68">
        <f>VLOOKUP(UNG[[#This Row],[CURSO]],'[1]POS_EAD_0112 a 3101_CAMP. REG)'!$F$463:$H$688,3,FALSE)</f>
        <v>6</v>
      </c>
      <c r="AL63" s="68">
        <f>VLOOKUP(UNG[[#This Row],[CURSO]],'[1]POS_EAD_0112 a 3101_CAMP. REG)'!$F$463:$I$688,4,FALSE)</f>
        <v>13</v>
      </c>
      <c r="AM63" s="71">
        <f>VLOOKUP(UNG[[#This Row],[CURSO]],'[1]POS_EAD_0112 a 3101_CAMP. REG)'!$F$463:$J$688,5,FALSE)</f>
        <v>269.33202599999998</v>
      </c>
      <c r="AN63" s="124">
        <f>VLOOKUP(UNG[[#This Row],[CURSO]],'[1]POS_EAD_0112 a 3101_CAMP. REG)'!$F$463:$L$688,7,FALSE)</f>
        <v>0.45</v>
      </c>
      <c r="AO63" s="71">
        <f>VLOOKUP(UNG[[#This Row],[CURSO]],'[1]POS_EAD_0112 a 3101_CAMP. REG)'!$F$463:$M$688,8,FALSE)</f>
        <v>133.32</v>
      </c>
      <c r="AP63" s="124">
        <f>VLOOKUP(UNG[[#This Row],[CURSO]],'[1]POS_EAD_0112 a 3101_CAMP. REG)'!$F$463:$P$688,11,FALSE)</f>
        <v>0.5</v>
      </c>
      <c r="AQ63" s="71">
        <f>VLOOKUP(UNG[[#This Row],[CURSO]],'[1]POS_EAD_0112 a 3101_CAMP. REG)'!$F$463:$Q$688,12,FALSE)</f>
        <v>121.2</v>
      </c>
      <c r="AS63" s="121" t="s">
        <v>58</v>
      </c>
      <c r="AT63" s="69" t="s">
        <v>19</v>
      </c>
      <c r="AU63" s="69" t="str">
        <f>VLOOKUP(UNINASSAU[[#This Row],[CURSO]],'[1]POS_EAD_0112 a 3101_CAMP. REG)'!$F$690:$G$915,2,FALSE)</f>
        <v>Exatas</v>
      </c>
      <c r="AV63" s="69">
        <f>VLOOKUP(UNINASSAU[[#This Row],[CURSO]],'[1]POS_EAD_0112 a 3101_CAMP. REG)'!$F$690:$H$915,3,FALSE)</f>
        <v>6</v>
      </c>
      <c r="AW63" s="69">
        <f>VLOOKUP(UNINASSAU[[#This Row],[CURSO]],'[1]POS_EAD_0112 a 3101_CAMP. REG)'!$F$690:$I$915,4,FALSE)</f>
        <v>13</v>
      </c>
      <c r="AX63" s="73">
        <f>VLOOKUP(UNINASSAU[[#This Row],[CURSO]],'[1]POS_EAD_0112 a 3101_CAMP. REG)'!$F$690:$J$915,5,FALSE)</f>
        <v>269.33202599999998</v>
      </c>
      <c r="AY63" s="72">
        <f>VLOOKUP(UNINASSAU[[#This Row],[CURSO]],'[1]POS_EAD_0112 a 3101_CAMP. REG)'!$F$690:$L$915,7,FALSE)</f>
        <v>0.45</v>
      </c>
      <c r="AZ63" s="73">
        <f>VLOOKUP(UNINASSAU[[#This Row],[CURSO]],'[1]POS_EAD_0112 a 3101_CAMP. REG)'!$F$690:$N$915,8,FALSE)</f>
        <v>133.32</v>
      </c>
      <c r="BA63" s="72">
        <f>VLOOKUP(UNINASSAU[[#This Row],[CURSO]],'[1]POS_EAD_0112 a 3101_CAMP. REG)'!$F$690:$P$915,11,FALSE)</f>
        <v>0.5</v>
      </c>
      <c r="BB63" s="73">
        <f>VLOOKUP(UNINASSAU[[#This Row],[CURSO]],'[1]POS_EAD_0112 a 3101_CAMP. REG)'!$F$690:$Q$915,12,FALSE)</f>
        <v>121.2</v>
      </c>
      <c r="BD63" s="104">
        <v>60</v>
      </c>
      <c r="BE63" s="121" t="s">
        <v>58</v>
      </c>
      <c r="BF63" s="69" t="s">
        <v>19</v>
      </c>
    </row>
    <row r="64" spans="12:58" x14ac:dyDescent="0.25">
      <c r="L64" s="121" t="s">
        <v>174</v>
      </c>
      <c r="M64" s="69" t="s">
        <v>19</v>
      </c>
      <c r="N64" s="69" t="str">
        <f>VLOOKUP($L$4,'[1]POS_EAD_0112 a 3101_CAMP. REG)'!$F$5:$G$231,2,FALSE)</f>
        <v>Humanas</v>
      </c>
      <c r="O64" s="69">
        <f>VLOOKUP(L64,'[1]POS_EAD_0112 a 3101_CAMP. REG)'!$F$5:$H$231,3,FALSE)</f>
        <v>6</v>
      </c>
      <c r="P64" s="68">
        <f>VLOOKUP(L64,'[1]POS_EAD_0112 a 3101_CAMP. REG)'!$F$5:$I$231,4,FALSE)</f>
        <v>13</v>
      </c>
      <c r="Q64" s="73">
        <f>VLOOKUP(L64,'[1]POS_EAD_0112 a 3101_CAMP. REG)'!$F$5:$J$231,5,FALSE)</f>
        <v>269.33202599999998</v>
      </c>
      <c r="R64" s="124">
        <f>VLOOKUP(L64,'[1]POS_EAD_0112 a 3101_CAMP. REG)'!$F$5:$L$231,7,FALSE)</f>
        <v>0.45</v>
      </c>
      <c r="S64" s="73">
        <f>VLOOKUP(L64,'[1]POS_EAD_0112 a 3101_CAMP. REG)'!$F$5:$M$231,8,FALSE)</f>
        <v>133.32</v>
      </c>
      <c r="T64" s="124">
        <f>VLOOKUP(L64,'[1]POS_EAD_0112 a 3101_CAMP. REG)'!$F$5:$P$231,11,FALSE)</f>
        <v>0.5</v>
      </c>
      <c r="U64" s="73">
        <f>VLOOKUP(L64,'[1]POS_EAD_0112 a 3101_CAMP. REG)'!$F$5:$Q$231,12,FALSE)</f>
        <v>121.2</v>
      </c>
      <c r="W64" s="121" t="s">
        <v>174</v>
      </c>
      <c r="X64" s="69" t="s">
        <v>19</v>
      </c>
      <c r="Y64" s="69" t="str">
        <f>VLOOKUP(W64,'[1]POS_EAD_0112 a 3101_CAMP. REG)'!$F$231:$G$461,2,FALSE)</f>
        <v>Humanas</v>
      </c>
      <c r="Z64" s="68">
        <f>VLOOKUP(W64,'[1]POS_EAD_0112 a 3101_CAMP. REG)'!$F$231:$H$461,3,FALSE)</f>
        <v>6</v>
      </c>
      <c r="AA64" s="68">
        <f>VLOOKUP(W64,'[1]POS_EAD_0112 a 3101_CAMP. REG)'!$F$231:$I$461,4,FALSE)</f>
        <v>13</v>
      </c>
      <c r="AB64" s="73">
        <f>VLOOKUP(W64,'[1]POS_EAD_0112 a 3101_CAMP. REG)'!$F$231:$J$461,5,FALSE)</f>
        <v>303.42628200000001</v>
      </c>
      <c r="AC64" s="72">
        <f>VLOOKUP(W64,'[1]POS_EAD_0112 a 3101_CAMP. REG)'!$F$231:$L$461,7,FALSE)</f>
        <v>0.45</v>
      </c>
      <c r="AD64" s="73">
        <f>VLOOKUP(W64,'[1]POS_EAD_0112 a 3101_CAMP. REG)'!$F$231:$M$461,8,FALSE)</f>
        <v>150.19999999999999</v>
      </c>
      <c r="AE64" s="72">
        <f>VLOOKUP(W64,'[1]POS_EAD_0112 a 3101_CAMP. REG)'!$F$231:$P$461,11,FALSE)</f>
        <v>0.5</v>
      </c>
      <c r="AF64" s="73">
        <f>VLOOKUP(W64,'[1]POS_EAD_0112 a 3101_CAMP. REG)'!$F$231:$Q$461,12,FALSE)</f>
        <v>136.54</v>
      </c>
      <c r="AH64" s="121" t="s">
        <v>174</v>
      </c>
      <c r="AI64" s="69" t="s">
        <v>19</v>
      </c>
      <c r="AJ64" s="68" t="str">
        <f>VLOOKUP(UNG[[#This Row],[CURSO]],'[1]POS_EAD_0112 a 3101_CAMP. REG)'!$F$463:$G$688,2,FALSE)</f>
        <v>Humanas</v>
      </c>
      <c r="AK64" s="68">
        <f>VLOOKUP(UNG[[#This Row],[CURSO]],'[1]POS_EAD_0112 a 3101_CAMP. REG)'!$F$463:$H$688,3,FALSE)</f>
        <v>6</v>
      </c>
      <c r="AL64" s="68">
        <f>VLOOKUP(UNG[[#This Row],[CURSO]],'[1]POS_EAD_0112 a 3101_CAMP. REG)'!$F$463:$I$688,4,FALSE)</f>
        <v>13</v>
      </c>
      <c r="AM64" s="71">
        <f>VLOOKUP(UNG[[#This Row],[CURSO]],'[1]POS_EAD_0112 a 3101_CAMP. REG)'!$F$463:$J$688,5,FALSE)</f>
        <v>269.33202599999998</v>
      </c>
      <c r="AN64" s="124">
        <f>VLOOKUP(UNG[[#This Row],[CURSO]],'[1]POS_EAD_0112 a 3101_CAMP. REG)'!$F$463:$L$688,7,FALSE)</f>
        <v>0.45</v>
      </c>
      <c r="AO64" s="71">
        <f>VLOOKUP(UNG[[#This Row],[CURSO]],'[1]POS_EAD_0112 a 3101_CAMP. REG)'!$F$463:$M$688,8,FALSE)</f>
        <v>133.32</v>
      </c>
      <c r="AP64" s="124">
        <f>VLOOKUP(UNG[[#This Row],[CURSO]],'[1]POS_EAD_0112 a 3101_CAMP. REG)'!$F$463:$P$688,11,FALSE)</f>
        <v>0.5</v>
      </c>
      <c r="AQ64" s="71">
        <f>VLOOKUP(UNG[[#This Row],[CURSO]],'[1]POS_EAD_0112 a 3101_CAMP. REG)'!$F$463:$Q$688,12,FALSE)</f>
        <v>121.2</v>
      </c>
      <c r="AS64" s="121" t="s">
        <v>174</v>
      </c>
      <c r="AT64" s="69" t="s">
        <v>19</v>
      </c>
      <c r="AU64" s="69" t="str">
        <f>VLOOKUP(UNINASSAU[[#This Row],[CURSO]],'[1]POS_EAD_0112 a 3101_CAMP. REG)'!$F$690:$G$915,2,FALSE)</f>
        <v>Humanas</v>
      </c>
      <c r="AV64" s="69">
        <f>VLOOKUP(UNINASSAU[[#This Row],[CURSO]],'[1]POS_EAD_0112 a 3101_CAMP. REG)'!$F$690:$H$915,3,FALSE)</f>
        <v>6</v>
      </c>
      <c r="AW64" s="69">
        <f>VLOOKUP(UNINASSAU[[#This Row],[CURSO]],'[1]POS_EAD_0112 a 3101_CAMP. REG)'!$F$690:$I$915,4,FALSE)</f>
        <v>13</v>
      </c>
      <c r="AX64" s="73">
        <f>VLOOKUP(UNINASSAU[[#This Row],[CURSO]],'[1]POS_EAD_0112 a 3101_CAMP. REG)'!$F$690:$J$915,5,FALSE)</f>
        <v>269.33202599999998</v>
      </c>
      <c r="AY64" s="72">
        <f>VLOOKUP(UNINASSAU[[#This Row],[CURSO]],'[1]POS_EAD_0112 a 3101_CAMP. REG)'!$F$690:$L$915,7,FALSE)</f>
        <v>0.45</v>
      </c>
      <c r="AZ64" s="73">
        <f>VLOOKUP(UNINASSAU[[#This Row],[CURSO]],'[1]POS_EAD_0112 a 3101_CAMP. REG)'!$F$690:$N$915,8,FALSE)</f>
        <v>133.32</v>
      </c>
      <c r="BA64" s="72">
        <f>VLOOKUP(UNINASSAU[[#This Row],[CURSO]],'[1]POS_EAD_0112 a 3101_CAMP. REG)'!$F$690:$P$915,11,FALSE)</f>
        <v>0.5</v>
      </c>
      <c r="BB64" s="73">
        <f>VLOOKUP(UNINASSAU[[#This Row],[CURSO]],'[1]POS_EAD_0112 a 3101_CAMP. REG)'!$F$690:$Q$915,12,FALSE)</f>
        <v>121.2</v>
      </c>
      <c r="BD64" s="104">
        <v>61</v>
      </c>
      <c r="BE64" s="121" t="s">
        <v>174</v>
      </c>
      <c r="BF64" s="69" t="s">
        <v>19</v>
      </c>
    </row>
    <row r="65" spans="12:58" x14ac:dyDescent="0.25">
      <c r="L65" s="121" t="s">
        <v>146</v>
      </c>
      <c r="M65" s="69" t="s">
        <v>19</v>
      </c>
      <c r="N65" s="69" t="str">
        <f>VLOOKUP($L$4,'[1]POS_EAD_0112 a 3101_CAMP. REG)'!$F$5:$G$231,2,FALSE)</f>
        <v>Humanas</v>
      </c>
      <c r="O65" s="69">
        <f>VLOOKUP(L65,'[1]POS_EAD_0112 a 3101_CAMP. REG)'!$F$5:$H$231,3,FALSE)</f>
        <v>6</v>
      </c>
      <c r="P65" s="68">
        <f>VLOOKUP(L65,'[1]POS_EAD_0112 a 3101_CAMP. REG)'!$F$5:$I$231,4,FALSE)</f>
        <v>13</v>
      </c>
      <c r="Q65" s="73">
        <f>VLOOKUP(L65,'[1]POS_EAD_0112 a 3101_CAMP. REG)'!$F$5:$J$231,5,FALSE)</f>
        <v>269.33202599999998</v>
      </c>
      <c r="R65" s="124">
        <f>VLOOKUP(L65,'[1]POS_EAD_0112 a 3101_CAMP. REG)'!$F$5:$L$231,7,FALSE)</f>
        <v>0.45</v>
      </c>
      <c r="S65" s="73">
        <f>VLOOKUP(L65,'[1]POS_EAD_0112 a 3101_CAMP. REG)'!$F$5:$M$231,8,FALSE)</f>
        <v>133.32</v>
      </c>
      <c r="T65" s="124">
        <f>VLOOKUP(L65,'[1]POS_EAD_0112 a 3101_CAMP. REG)'!$F$5:$P$231,11,FALSE)</f>
        <v>0.5</v>
      </c>
      <c r="U65" s="73">
        <f>VLOOKUP(L65,'[1]POS_EAD_0112 a 3101_CAMP. REG)'!$F$5:$Q$231,12,FALSE)</f>
        <v>121.2</v>
      </c>
      <c r="W65" s="121" t="s">
        <v>146</v>
      </c>
      <c r="X65" s="69" t="s">
        <v>19</v>
      </c>
      <c r="Y65" s="69" t="str">
        <f>VLOOKUP(W65,'[1]POS_EAD_0112 a 3101_CAMP. REG)'!$F$231:$G$461,2,FALSE)</f>
        <v>Humanas</v>
      </c>
      <c r="Z65" s="68">
        <f>VLOOKUP(W65,'[1]POS_EAD_0112 a 3101_CAMP. REG)'!$F$231:$H$461,3,FALSE)</f>
        <v>6</v>
      </c>
      <c r="AA65" s="68">
        <f>VLOOKUP(W65,'[1]POS_EAD_0112 a 3101_CAMP. REG)'!$F$231:$I$461,4,FALSE)</f>
        <v>13</v>
      </c>
      <c r="AB65" s="73">
        <f>VLOOKUP(W65,'[1]POS_EAD_0112 a 3101_CAMP. REG)'!$F$231:$J$461,5,FALSE)</f>
        <v>303.42628200000001</v>
      </c>
      <c r="AC65" s="72">
        <f>VLOOKUP(W65,'[1]POS_EAD_0112 a 3101_CAMP. REG)'!$F$231:$L$461,7,FALSE)</f>
        <v>0.45</v>
      </c>
      <c r="AD65" s="73">
        <f>VLOOKUP(W65,'[1]POS_EAD_0112 a 3101_CAMP. REG)'!$F$231:$M$461,8,FALSE)</f>
        <v>150.19999999999999</v>
      </c>
      <c r="AE65" s="72">
        <f>VLOOKUP(W65,'[1]POS_EAD_0112 a 3101_CAMP. REG)'!$F$231:$P$461,11,FALSE)</f>
        <v>0.5</v>
      </c>
      <c r="AF65" s="73">
        <f>VLOOKUP(W65,'[1]POS_EAD_0112 a 3101_CAMP. REG)'!$F$231:$Q$461,12,FALSE)</f>
        <v>136.54</v>
      </c>
      <c r="AH65" s="121" t="s">
        <v>146</v>
      </c>
      <c r="AI65" s="69" t="s">
        <v>19</v>
      </c>
      <c r="AJ65" s="68" t="str">
        <f>VLOOKUP(UNG[[#This Row],[CURSO]],'[1]POS_EAD_0112 a 3101_CAMP. REG)'!$F$463:$G$688,2,FALSE)</f>
        <v>Humanas</v>
      </c>
      <c r="AK65" s="68">
        <f>VLOOKUP(UNG[[#This Row],[CURSO]],'[1]POS_EAD_0112 a 3101_CAMP. REG)'!$F$463:$H$688,3,FALSE)</f>
        <v>6</v>
      </c>
      <c r="AL65" s="68">
        <f>VLOOKUP(UNG[[#This Row],[CURSO]],'[1]POS_EAD_0112 a 3101_CAMP. REG)'!$F$463:$I$688,4,FALSE)</f>
        <v>13</v>
      </c>
      <c r="AM65" s="71">
        <f>VLOOKUP(UNG[[#This Row],[CURSO]],'[1]POS_EAD_0112 a 3101_CAMP. REG)'!$F$463:$J$688,5,FALSE)</f>
        <v>269.33202599999998</v>
      </c>
      <c r="AN65" s="124">
        <f>VLOOKUP(UNG[[#This Row],[CURSO]],'[1]POS_EAD_0112 a 3101_CAMP. REG)'!$F$463:$L$688,7,FALSE)</f>
        <v>0.45</v>
      </c>
      <c r="AO65" s="71">
        <f>VLOOKUP(UNG[[#This Row],[CURSO]],'[1]POS_EAD_0112 a 3101_CAMP. REG)'!$F$463:$M$688,8,FALSE)</f>
        <v>133.32</v>
      </c>
      <c r="AP65" s="124">
        <f>VLOOKUP(UNG[[#This Row],[CURSO]],'[1]POS_EAD_0112 a 3101_CAMP. REG)'!$F$463:$P$688,11,FALSE)</f>
        <v>0.5</v>
      </c>
      <c r="AQ65" s="71">
        <f>VLOOKUP(UNG[[#This Row],[CURSO]],'[1]POS_EAD_0112 a 3101_CAMP. REG)'!$F$463:$Q$688,12,FALSE)</f>
        <v>121.2</v>
      </c>
      <c r="AS65" s="121" t="s">
        <v>146</v>
      </c>
      <c r="AT65" s="69" t="s">
        <v>19</v>
      </c>
      <c r="AU65" s="69" t="str">
        <f>VLOOKUP(UNINASSAU[[#This Row],[CURSO]],'[1]POS_EAD_0112 a 3101_CAMP. REG)'!$F$690:$G$915,2,FALSE)</f>
        <v>Humanas</v>
      </c>
      <c r="AV65" s="69">
        <f>VLOOKUP(UNINASSAU[[#This Row],[CURSO]],'[1]POS_EAD_0112 a 3101_CAMP. REG)'!$F$690:$H$915,3,FALSE)</f>
        <v>6</v>
      </c>
      <c r="AW65" s="69">
        <f>VLOOKUP(UNINASSAU[[#This Row],[CURSO]],'[1]POS_EAD_0112 a 3101_CAMP. REG)'!$F$690:$I$915,4,FALSE)</f>
        <v>13</v>
      </c>
      <c r="AX65" s="73">
        <f>VLOOKUP(UNINASSAU[[#This Row],[CURSO]],'[1]POS_EAD_0112 a 3101_CAMP. REG)'!$F$690:$J$915,5,FALSE)</f>
        <v>269.33202599999998</v>
      </c>
      <c r="AY65" s="72">
        <f>VLOOKUP(UNINASSAU[[#This Row],[CURSO]],'[1]POS_EAD_0112 a 3101_CAMP. REG)'!$F$690:$L$915,7,FALSE)</f>
        <v>0.45</v>
      </c>
      <c r="AZ65" s="73">
        <f>VLOOKUP(UNINASSAU[[#This Row],[CURSO]],'[1]POS_EAD_0112 a 3101_CAMP. REG)'!$F$690:$N$915,8,FALSE)</f>
        <v>133.32</v>
      </c>
      <c r="BA65" s="72">
        <f>VLOOKUP(UNINASSAU[[#This Row],[CURSO]],'[1]POS_EAD_0112 a 3101_CAMP. REG)'!$F$690:$P$915,11,FALSE)</f>
        <v>0.5</v>
      </c>
      <c r="BB65" s="73">
        <f>VLOOKUP(UNINASSAU[[#This Row],[CURSO]],'[1]POS_EAD_0112 a 3101_CAMP. REG)'!$F$690:$Q$915,12,FALSE)</f>
        <v>121.2</v>
      </c>
      <c r="BD65" s="104">
        <v>62</v>
      </c>
      <c r="BE65" s="121" t="s">
        <v>146</v>
      </c>
      <c r="BF65" s="69" t="s">
        <v>19</v>
      </c>
    </row>
    <row r="66" spans="12:58" x14ac:dyDescent="0.25">
      <c r="L66" s="121" t="s">
        <v>147</v>
      </c>
      <c r="M66" s="69" t="s">
        <v>19</v>
      </c>
      <c r="N66" s="69" t="str">
        <f>VLOOKUP($L$4,'[1]POS_EAD_0112 a 3101_CAMP. REG)'!$F$5:$G$231,2,FALSE)</f>
        <v>Humanas</v>
      </c>
      <c r="O66" s="69">
        <f>VLOOKUP(L66,'[1]POS_EAD_0112 a 3101_CAMP. REG)'!$F$5:$H$231,3,FALSE)</f>
        <v>6</v>
      </c>
      <c r="P66" s="68">
        <f>VLOOKUP(L66,'[1]POS_EAD_0112 a 3101_CAMP. REG)'!$F$5:$I$231,4,FALSE)</f>
        <v>13</v>
      </c>
      <c r="Q66" s="73">
        <f>VLOOKUP(L66,'[1]POS_EAD_0112 a 3101_CAMP. REG)'!$F$5:$J$231,5,FALSE)</f>
        <v>269.33202599999998</v>
      </c>
      <c r="R66" s="124">
        <f>VLOOKUP(L66,'[1]POS_EAD_0112 a 3101_CAMP. REG)'!$F$5:$L$231,7,FALSE)</f>
        <v>0.45</v>
      </c>
      <c r="S66" s="73">
        <f>VLOOKUP(L66,'[1]POS_EAD_0112 a 3101_CAMP. REG)'!$F$5:$M$231,8,FALSE)</f>
        <v>133.32</v>
      </c>
      <c r="T66" s="124">
        <f>VLOOKUP(L66,'[1]POS_EAD_0112 a 3101_CAMP. REG)'!$F$5:$P$231,11,FALSE)</f>
        <v>0.5</v>
      </c>
      <c r="U66" s="73">
        <f>VLOOKUP(L66,'[1]POS_EAD_0112 a 3101_CAMP. REG)'!$F$5:$Q$231,12,FALSE)</f>
        <v>121.2</v>
      </c>
      <c r="W66" s="121" t="s">
        <v>147</v>
      </c>
      <c r="X66" s="69" t="s">
        <v>19</v>
      </c>
      <c r="Y66" s="69" t="str">
        <f>VLOOKUP(W66,'[1]POS_EAD_0112 a 3101_CAMP. REG)'!$F$231:$G$461,2,FALSE)</f>
        <v>Humanas</v>
      </c>
      <c r="Z66" s="68">
        <f>VLOOKUP(W66,'[1]POS_EAD_0112 a 3101_CAMP. REG)'!$F$231:$H$461,3,FALSE)</f>
        <v>6</v>
      </c>
      <c r="AA66" s="68">
        <f>VLOOKUP(W66,'[1]POS_EAD_0112 a 3101_CAMP. REG)'!$F$231:$I$461,4,FALSE)</f>
        <v>13</v>
      </c>
      <c r="AB66" s="73">
        <f>VLOOKUP(W66,'[1]POS_EAD_0112 a 3101_CAMP. REG)'!$F$231:$J$461,5,FALSE)</f>
        <v>303.42628200000001</v>
      </c>
      <c r="AC66" s="72">
        <f>VLOOKUP(W66,'[1]POS_EAD_0112 a 3101_CAMP. REG)'!$F$231:$L$461,7,FALSE)</f>
        <v>0.45</v>
      </c>
      <c r="AD66" s="73">
        <f>VLOOKUP(W66,'[1]POS_EAD_0112 a 3101_CAMP. REG)'!$F$231:$M$461,8,FALSE)</f>
        <v>150.19999999999999</v>
      </c>
      <c r="AE66" s="72">
        <f>VLOOKUP(W66,'[1]POS_EAD_0112 a 3101_CAMP. REG)'!$F$231:$P$461,11,FALSE)</f>
        <v>0.5</v>
      </c>
      <c r="AF66" s="73">
        <f>VLOOKUP(W66,'[1]POS_EAD_0112 a 3101_CAMP. REG)'!$F$231:$Q$461,12,FALSE)</f>
        <v>136.54</v>
      </c>
      <c r="AH66" s="121" t="s">
        <v>147</v>
      </c>
      <c r="AI66" s="69" t="s">
        <v>19</v>
      </c>
      <c r="AJ66" s="68" t="str">
        <f>VLOOKUP(UNG[[#This Row],[CURSO]],'[1]POS_EAD_0112 a 3101_CAMP. REG)'!$F$463:$G$688,2,FALSE)</f>
        <v>Humanas</v>
      </c>
      <c r="AK66" s="68">
        <f>VLOOKUP(UNG[[#This Row],[CURSO]],'[1]POS_EAD_0112 a 3101_CAMP. REG)'!$F$463:$H$688,3,FALSE)</f>
        <v>6</v>
      </c>
      <c r="AL66" s="68">
        <f>VLOOKUP(UNG[[#This Row],[CURSO]],'[1]POS_EAD_0112 a 3101_CAMP. REG)'!$F$463:$I$688,4,FALSE)</f>
        <v>13</v>
      </c>
      <c r="AM66" s="71">
        <f>VLOOKUP(UNG[[#This Row],[CURSO]],'[1]POS_EAD_0112 a 3101_CAMP. REG)'!$F$463:$J$688,5,FALSE)</f>
        <v>269.33202599999998</v>
      </c>
      <c r="AN66" s="124">
        <f>VLOOKUP(UNG[[#This Row],[CURSO]],'[1]POS_EAD_0112 a 3101_CAMP. REG)'!$F$463:$L$688,7,FALSE)</f>
        <v>0.45</v>
      </c>
      <c r="AO66" s="71">
        <f>VLOOKUP(UNG[[#This Row],[CURSO]],'[1]POS_EAD_0112 a 3101_CAMP. REG)'!$F$463:$M$688,8,FALSE)</f>
        <v>133.32</v>
      </c>
      <c r="AP66" s="124">
        <f>VLOOKUP(UNG[[#This Row],[CURSO]],'[1]POS_EAD_0112 a 3101_CAMP. REG)'!$F$463:$P$688,11,FALSE)</f>
        <v>0.5</v>
      </c>
      <c r="AQ66" s="71">
        <f>VLOOKUP(UNG[[#This Row],[CURSO]],'[1]POS_EAD_0112 a 3101_CAMP. REG)'!$F$463:$Q$688,12,FALSE)</f>
        <v>121.2</v>
      </c>
      <c r="AS66" s="121" t="s">
        <v>147</v>
      </c>
      <c r="AT66" s="69" t="s">
        <v>19</v>
      </c>
      <c r="AU66" s="69" t="str">
        <f>VLOOKUP(UNINASSAU[[#This Row],[CURSO]],'[1]POS_EAD_0112 a 3101_CAMP. REG)'!$F$690:$G$915,2,FALSE)</f>
        <v>Humanas</v>
      </c>
      <c r="AV66" s="69">
        <f>VLOOKUP(UNINASSAU[[#This Row],[CURSO]],'[1]POS_EAD_0112 a 3101_CAMP. REG)'!$F$690:$H$915,3,FALSE)</f>
        <v>6</v>
      </c>
      <c r="AW66" s="69">
        <f>VLOOKUP(UNINASSAU[[#This Row],[CURSO]],'[1]POS_EAD_0112 a 3101_CAMP. REG)'!$F$690:$I$915,4,FALSE)</f>
        <v>13</v>
      </c>
      <c r="AX66" s="73">
        <f>VLOOKUP(UNINASSAU[[#This Row],[CURSO]],'[1]POS_EAD_0112 a 3101_CAMP. REG)'!$F$690:$J$915,5,FALSE)</f>
        <v>269.33202599999998</v>
      </c>
      <c r="AY66" s="72">
        <f>VLOOKUP(UNINASSAU[[#This Row],[CURSO]],'[1]POS_EAD_0112 a 3101_CAMP. REG)'!$F$690:$L$915,7,FALSE)</f>
        <v>0.45</v>
      </c>
      <c r="AZ66" s="73">
        <f>VLOOKUP(UNINASSAU[[#This Row],[CURSO]],'[1]POS_EAD_0112 a 3101_CAMP. REG)'!$F$690:$N$915,8,FALSE)</f>
        <v>133.32</v>
      </c>
      <c r="BA66" s="72">
        <f>VLOOKUP(UNINASSAU[[#This Row],[CURSO]],'[1]POS_EAD_0112 a 3101_CAMP. REG)'!$F$690:$P$915,11,FALSE)</f>
        <v>0.5</v>
      </c>
      <c r="BB66" s="73">
        <f>VLOOKUP(UNINASSAU[[#This Row],[CURSO]],'[1]POS_EAD_0112 a 3101_CAMP. REG)'!$F$690:$Q$915,12,FALSE)</f>
        <v>121.2</v>
      </c>
      <c r="BD66" s="104">
        <v>63</v>
      </c>
      <c r="BE66" s="121" t="s">
        <v>147</v>
      </c>
      <c r="BF66" s="69" t="s">
        <v>19</v>
      </c>
    </row>
    <row r="67" spans="12:58" x14ac:dyDescent="0.25">
      <c r="L67" s="121" t="s">
        <v>136</v>
      </c>
      <c r="M67" s="69" t="s">
        <v>19</v>
      </c>
      <c r="N67" s="69" t="str">
        <f>VLOOKUP($L$4,'[1]POS_EAD_0112 a 3101_CAMP. REG)'!$F$5:$G$231,2,FALSE)</f>
        <v>Humanas</v>
      </c>
      <c r="O67" s="69">
        <f>VLOOKUP(L67,'[1]POS_EAD_0112 a 3101_CAMP. REG)'!$F$5:$H$231,3,FALSE)</f>
        <v>6</v>
      </c>
      <c r="P67" s="68">
        <f>VLOOKUP(L67,'[1]POS_EAD_0112 a 3101_CAMP. REG)'!$F$5:$I$231,4,FALSE)</f>
        <v>13</v>
      </c>
      <c r="Q67" s="73">
        <f>VLOOKUP(L67,'[1]POS_EAD_0112 a 3101_CAMP. REG)'!$F$5:$J$231,5,FALSE)</f>
        <v>269.33202599999998</v>
      </c>
      <c r="R67" s="124">
        <f>VLOOKUP(L67,'[1]POS_EAD_0112 a 3101_CAMP. REG)'!$F$5:$L$231,7,FALSE)</f>
        <v>0.45</v>
      </c>
      <c r="S67" s="73">
        <f>VLOOKUP(L67,'[1]POS_EAD_0112 a 3101_CAMP. REG)'!$F$5:$M$231,8,FALSE)</f>
        <v>133.32</v>
      </c>
      <c r="T67" s="124">
        <f>VLOOKUP(L67,'[1]POS_EAD_0112 a 3101_CAMP. REG)'!$F$5:$P$231,11,FALSE)</f>
        <v>0.5</v>
      </c>
      <c r="U67" s="73">
        <f>VLOOKUP(L67,'[1]POS_EAD_0112 a 3101_CAMP. REG)'!$F$5:$Q$231,12,FALSE)</f>
        <v>121.2</v>
      </c>
      <c r="W67" s="121" t="s">
        <v>136</v>
      </c>
      <c r="X67" s="69" t="s">
        <v>19</v>
      </c>
      <c r="Y67" s="69" t="str">
        <f>VLOOKUP(W67,'[1]POS_EAD_0112 a 3101_CAMP. REG)'!$F$231:$G$461,2,FALSE)</f>
        <v>Humanas</v>
      </c>
      <c r="Z67" s="68">
        <f>VLOOKUP(W67,'[1]POS_EAD_0112 a 3101_CAMP. REG)'!$F$231:$H$461,3,FALSE)</f>
        <v>6</v>
      </c>
      <c r="AA67" s="68">
        <f>VLOOKUP(W67,'[1]POS_EAD_0112 a 3101_CAMP. REG)'!$F$231:$I$461,4,FALSE)</f>
        <v>13</v>
      </c>
      <c r="AB67" s="73">
        <f>VLOOKUP(W67,'[1]POS_EAD_0112 a 3101_CAMP. REG)'!$F$231:$J$461,5,FALSE)</f>
        <v>303.42628200000001</v>
      </c>
      <c r="AC67" s="72">
        <f>VLOOKUP(W67,'[1]POS_EAD_0112 a 3101_CAMP. REG)'!$F$231:$L$461,7,FALSE)</f>
        <v>0.45</v>
      </c>
      <c r="AD67" s="73">
        <f>VLOOKUP(W67,'[1]POS_EAD_0112 a 3101_CAMP. REG)'!$F$231:$M$461,8,FALSE)</f>
        <v>150.19999999999999</v>
      </c>
      <c r="AE67" s="72">
        <f>VLOOKUP(W67,'[1]POS_EAD_0112 a 3101_CAMP. REG)'!$F$231:$P$461,11,FALSE)</f>
        <v>0.5</v>
      </c>
      <c r="AF67" s="73">
        <f>VLOOKUP(W67,'[1]POS_EAD_0112 a 3101_CAMP. REG)'!$F$231:$Q$461,12,FALSE)</f>
        <v>136.54</v>
      </c>
      <c r="AH67" s="121" t="s">
        <v>136</v>
      </c>
      <c r="AI67" s="69" t="s">
        <v>19</v>
      </c>
      <c r="AJ67" s="68" t="str">
        <f>VLOOKUP(UNG[[#This Row],[CURSO]],'[1]POS_EAD_0112 a 3101_CAMP. REG)'!$F$463:$G$688,2,FALSE)</f>
        <v>Humanas</v>
      </c>
      <c r="AK67" s="68">
        <f>VLOOKUP(UNG[[#This Row],[CURSO]],'[1]POS_EAD_0112 a 3101_CAMP. REG)'!$F$463:$H$688,3,FALSE)</f>
        <v>6</v>
      </c>
      <c r="AL67" s="68">
        <f>VLOOKUP(UNG[[#This Row],[CURSO]],'[1]POS_EAD_0112 a 3101_CAMP. REG)'!$F$463:$I$688,4,FALSE)</f>
        <v>13</v>
      </c>
      <c r="AM67" s="71">
        <f>VLOOKUP(UNG[[#This Row],[CURSO]],'[1]POS_EAD_0112 a 3101_CAMP. REG)'!$F$463:$J$688,5,FALSE)</f>
        <v>269.33202599999998</v>
      </c>
      <c r="AN67" s="124">
        <f>VLOOKUP(UNG[[#This Row],[CURSO]],'[1]POS_EAD_0112 a 3101_CAMP. REG)'!$F$463:$L$688,7,FALSE)</f>
        <v>0.45</v>
      </c>
      <c r="AO67" s="71">
        <f>VLOOKUP(UNG[[#This Row],[CURSO]],'[1]POS_EAD_0112 a 3101_CAMP. REG)'!$F$463:$M$688,8,FALSE)</f>
        <v>133.32</v>
      </c>
      <c r="AP67" s="124">
        <f>VLOOKUP(UNG[[#This Row],[CURSO]],'[1]POS_EAD_0112 a 3101_CAMP. REG)'!$F$463:$P$688,11,FALSE)</f>
        <v>0.5</v>
      </c>
      <c r="AQ67" s="71">
        <f>VLOOKUP(UNG[[#This Row],[CURSO]],'[1]POS_EAD_0112 a 3101_CAMP. REG)'!$F$463:$Q$688,12,FALSE)</f>
        <v>121.2</v>
      </c>
      <c r="AS67" s="121" t="s">
        <v>136</v>
      </c>
      <c r="AT67" s="69" t="s">
        <v>19</v>
      </c>
      <c r="AU67" s="69" t="str">
        <f>VLOOKUP(UNINASSAU[[#This Row],[CURSO]],'[1]POS_EAD_0112 a 3101_CAMP. REG)'!$F$690:$G$915,2,FALSE)</f>
        <v>Humanas</v>
      </c>
      <c r="AV67" s="69">
        <f>VLOOKUP(UNINASSAU[[#This Row],[CURSO]],'[1]POS_EAD_0112 a 3101_CAMP. REG)'!$F$690:$H$915,3,FALSE)</f>
        <v>6</v>
      </c>
      <c r="AW67" s="69">
        <f>VLOOKUP(UNINASSAU[[#This Row],[CURSO]],'[1]POS_EAD_0112 a 3101_CAMP. REG)'!$F$690:$I$915,4,FALSE)</f>
        <v>13</v>
      </c>
      <c r="AX67" s="73">
        <f>VLOOKUP(UNINASSAU[[#This Row],[CURSO]],'[1]POS_EAD_0112 a 3101_CAMP. REG)'!$F$690:$J$915,5,FALSE)</f>
        <v>269.33202599999998</v>
      </c>
      <c r="AY67" s="72">
        <f>VLOOKUP(UNINASSAU[[#This Row],[CURSO]],'[1]POS_EAD_0112 a 3101_CAMP. REG)'!$F$690:$L$915,7,FALSE)</f>
        <v>0.45</v>
      </c>
      <c r="AZ67" s="73">
        <f>VLOOKUP(UNINASSAU[[#This Row],[CURSO]],'[1]POS_EAD_0112 a 3101_CAMP. REG)'!$F$690:$N$915,8,FALSE)</f>
        <v>133.32</v>
      </c>
      <c r="BA67" s="72">
        <f>VLOOKUP(UNINASSAU[[#This Row],[CURSO]],'[1]POS_EAD_0112 a 3101_CAMP. REG)'!$F$690:$P$915,11,FALSE)</f>
        <v>0.5</v>
      </c>
      <c r="BB67" s="73">
        <f>VLOOKUP(UNINASSAU[[#This Row],[CURSO]],'[1]POS_EAD_0112 a 3101_CAMP. REG)'!$F$690:$Q$915,12,FALSE)</f>
        <v>121.2</v>
      </c>
      <c r="BD67" s="104">
        <v>64</v>
      </c>
      <c r="BE67" s="121" t="s">
        <v>136</v>
      </c>
      <c r="BF67" s="69" t="s">
        <v>19</v>
      </c>
    </row>
    <row r="68" spans="12:58" x14ac:dyDescent="0.25">
      <c r="L68" s="121" t="s">
        <v>199</v>
      </c>
      <c r="M68" s="69" t="s">
        <v>19</v>
      </c>
      <c r="N68" s="69" t="str">
        <f>VLOOKUP($L$4,'[1]POS_EAD_0112 a 3101_CAMP. REG)'!$F$5:$G$231,2,FALSE)</f>
        <v>Humanas</v>
      </c>
      <c r="O68" s="69">
        <f>VLOOKUP(L68,'[1]POS_EAD_0112 a 3101_CAMP. REG)'!$F$5:$H$231,3,FALSE)</f>
        <v>6</v>
      </c>
      <c r="P68" s="68">
        <f>VLOOKUP(L68,'[1]POS_EAD_0112 a 3101_CAMP. REG)'!$F$5:$I$231,4,FALSE)</f>
        <v>13</v>
      </c>
      <c r="Q68" s="73">
        <f>VLOOKUP(L68,'[1]POS_EAD_0112 a 3101_CAMP. REG)'!$F$5:$J$231,5,FALSE)</f>
        <v>269.33202599999998</v>
      </c>
      <c r="R68" s="124">
        <f>VLOOKUP(L68,'[1]POS_EAD_0112 a 3101_CAMP. REG)'!$F$5:$L$231,7,FALSE)</f>
        <v>0.45</v>
      </c>
      <c r="S68" s="73">
        <f>VLOOKUP(L68,'[1]POS_EAD_0112 a 3101_CAMP. REG)'!$F$5:$M$231,8,FALSE)</f>
        <v>133.32</v>
      </c>
      <c r="T68" s="124">
        <f>VLOOKUP(L68,'[1]POS_EAD_0112 a 3101_CAMP. REG)'!$F$5:$P$231,11,FALSE)</f>
        <v>0.5</v>
      </c>
      <c r="U68" s="73">
        <f>VLOOKUP(L68,'[1]POS_EAD_0112 a 3101_CAMP. REG)'!$F$5:$Q$231,12,FALSE)</f>
        <v>121.2</v>
      </c>
      <c r="W68" s="121" t="s">
        <v>199</v>
      </c>
      <c r="X68" s="69" t="s">
        <v>19</v>
      </c>
      <c r="Y68" s="69" t="str">
        <f>VLOOKUP(W68,'[1]POS_EAD_0112 a 3101_CAMP. REG)'!$F$231:$G$461,2,FALSE)</f>
        <v>Humanas</v>
      </c>
      <c r="Z68" s="68">
        <f>VLOOKUP(W68,'[1]POS_EAD_0112 a 3101_CAMP. REG)'!$F$231:$H$461,3,FALSE)</f>
        <v>6</v>
      </c>
      <c r="AA68" s="68">
        <f>VLOOKUP(W68,'[1]POS_EAD_0112 a 3101_CAMP. REG)'!$F$231:$I$461,4,FALSE)</f>
        <v>13</v>
      </c>
      <c r="AB68" s="73">
        <f>VLOOKUP(W68,'[1]POS_EAD_0112 a 3101_CAMP. REG)'!$F$231:$J$461,5,FALSE)</f>
        <v>303.42628200000001</v>
      </c>
      <c r="AC68" s="72">
        <f>VLOOKUP(W68,'[1]POS_EAD_0112 a 3101_CAMP. REG)'!$F$231:$L$461,7,FALSE)</f>
        <v>0.45</v>
      </c>
      <c r="AD68" s="73">
        <f>VLOOKUP(W68,'[1]POS_EAD_0112 a 3101_CAMP. REG)'!$F$231:$M$461,8,FALSE)</f>
        <v>150.19999999999999</v>
      </c>
      <c r="AE68" s="72">
        <f>VLOOKUP(W68,'[1]POS_EAD_0112 a 3101_CAMP. REG)'!$F$231:$P$461,11,FALSE)</f>
        <v>0.5</v>
      </c>
      <c r="AF68" s="73">
        <f>VLOOKUP(W68,'[1]POS_EAD_0112 a 3101_CAMP. REG)'!$F$231:$Q$461,12,FALSE)</f>
        <v>136.54</v>
      </c>
      <c r="AH68" s="121" t="s">
        <v>199</v>
      </c>
      <c r="AI68" s="69" t="s">
        <v>19</v>
      </c>
      <c r="AJ68" s="68" t="str">
        <f>VLOOKUP(UNG[[#This Row],[CURSO]],'[1]POS_EAD_0112 a 3101_CAMP. REG)'!$F$463:$G$688,2,FALSE)</f>
        <v>Humanas</v>
      </c>
      <c r="AK68" s="68">
        <f>VLOOKUP(UNG[[#This Row],[CURSO]],'[1]POS_EAD_0112 a 3101_CAMP. REG)'!$F$463:$H$688,3,FALSE)</f>
        <v>6</v>
      </c>
      <c r="AL68" s="68">
        <f>VLOOKUP(UNG[[#This Row],[CURSO]],'[1]POS_EAD_0112 a 3101_CAMP. REG)'!$F$463:$I$688,4,FALSE)</f>
        <v>13</v>
      </c>
      <c r="AM68" s="71">
        <f>VLOOKUP(UNG[[#This Row],[CURSO]],'[1]POS_EAD_0112 a 3101_CAMP. REG)'!$F$463:$J$688,5,FALSE)</f>
        <v>269.33202599999998</v>
      </c>
      <c r="AN68" s="124">
        <f>VLOOKUP(UNG[[#This Row],[CURSO]],'[1]POS_EAD_0112 a 3101_CAMP. REG)'!$F$463:$L$688,7,FALSE)</f>
        <v>0.45</v>
      </c>
      <c r="AO68" s="71">
        <f>VLOOKUP(UNG[[#This Row],[CURSO]],'[1]POS_EAD_0112 a 3101_CAMP. REG)'!$F$463:$M$688,8,FALSE)</f>
        <v>133.32</v>
      </c>
      <c r="AP68" s="124">
        <f>VLOOKUP(UNG[[#This Row],[CURSO]],'[1]POS_EAD_0112 a 3101_CAMP. REG)'!$F$463:$P$688,11,FALSE)</f>
        <v>0.5</v>
      </c>
      <c r="AQ68" s="71">
        <f>VLOOKUP(UNG[[#This Row],[CURSO]],'[1]POS_EAD_0112 a 3101_CAMP. REG)'!$F$463:$Q$688,12,FALSE)</f>
        <v>121.2</v>
      </c>
      <c r="AS68" s="121" t="s">
        <v>199</v>
      </c>
      <c r="AT68" s="69" t="s">
        <v>19</v>
      </c>
      <c r="AU68" s="69" t="str">
        <f>VLOOKUP(UNINASSAU[[#This Row],[CURSO]],'[1]POS_EAD_0112 a 3101_CAMP. REG)'!$F$690:$G$915,2,FALSE)</f>
        <v>Humanas</v>
      </c>
      <c r="AV68" s="69">
        <f>VLOOKUP(UNINASSAU[[#This Row],[CURSO]],'[1]POS_EAD_0112 a 3101_CAMP. REG)'!$F$690:$H$915,3,FALSE)</f>
        <v>6</v>
      </c>
      <c r="AW68" s="69">
        <f>VLOOKUP(UNINASSAU[[#This Row],[CURSO]],'[1]POS_EAD_0112 a 3101_CAMP. REG)'!$F$690:$I$915,4,FALSE)</f>
        <v>13</v>
      </c>
      <c r="AX68" s="73">
        <f>VLOOKUP(UNINASSAU[[#This Row],[CURSO]],'[1]POS_EAD_0112 a 3101_CAMP. REG)'!$F$690:$J$915,5,FALSE)</f>
        <v>269.33202599999998</v>
      </c>
      <c r="AY68" s="72">
        <f>VLOOKUP(UNINASSAU[[#This Row],[CURSO]],'[1]POS_EAD_0112 a 3101_CAMP. REG)'!$F$690:$L$915,7,FALSE)</f>
        <v>0.45</v>
      </c>
      <c r="AZ68" s="73">
        <f>VLOOKUP(UNINASSAU[[#This Row],[CURSO]],'[1]POS_EAD_0112 a 3101_CAMP. REG)'!$F$690:$N$915,8,FALSE)</f>
        <v>133.32</v>
      </c>
      <c r="BA68" s="72">
        <f>VLOOKUP(UNINASSAU[[#This Row],[CURSO]],'[1]POS_EAD_0112 a 3101_CAMP. REG)'!$F$690:$P$915,11,FALSE)</f>
        <v>0.5</v>
      </c>
      <c r="BB68" s="73">
        <f>VLOOKUP(UNINASSAU[[#This Row],[CURSO]],'[1]POS_EAD_0112 a 3101_CAMP. REG)'!$F$690:$Q$915,12,FALSE)</f>
        <v>121.2</v>
      </c>
      <c r="BD68" s="104">
        <v>65</v>
      </c>
      <c r="BE68" s="121" t="s">
        <v>199</v>
      </c>
      <c r="BF68" s="69" t="s">
        <v>19</v>
      </c>
    </row>
    <row r="69" spans="12:58" x14ac:dyDescent="0.25">
      <c r="L69" s="121" t="s">
        <v>184</v>
      </c>
      <c r="M69" s="69" t="s">
        <v>19</v>
      </c>
      <c r="N69" s="69" t="str">
        <f>VLOOKUP($L$4,'[1]POS_EAD_0112 a 3101_CAMP. REG)'!$F$5:$G$231,2,FALSE)</f>
        <v>Humanas</v>
      </c>
      <c r="O69" s="69">
        <f>VLOOKUP(L69,'[1]POS_EAD_0112 a 3101_CAMP. REG)'!$F$5:$H$231,3,FALSE)</f>
        <v>6</v>
      </c>
      <c r="P69" s="68">
        <f>VLOOKUP(L69,'[1]POS_EAD_0112 a 3101_CAMP. REG)'!$F$5:$I$231,4,FALSE)</f>
        <v>13</v>
      </c>
      <c r="Q69" s="73">
        <f>VLOOKUP(L69,'[1]POS_EAD_0112 a 3101_CAMP. REG)'!$F$5:$J$231,5,FALSE)</f>
        <v>269.33202599999998</v>
      </c>
      <c r="R69" s="124">
        <f>VLOOKUP(L69,'[1]POS_EAD_0112 a 3101_CAMP. REG)'!$F$5:$L$231,7,FALSE)</f>
        <v>0.45</v>
      </c>
      <c r="S69" s="73">
        <f>VLOOKUP(L69,'[1]POS_EAD_0112 a 3101_CAMP. REG)'!$F$5:$M$231,8,FALSE)</f>
        <v>133.32</v>
      </c>
      <c r="T69" s="124">
        <f>VLOOKUP(L69,'[1]POS_EAD_0112 a 3101_CAMP. REG)'!$F$5:$P$231,11,FALSE)</f>
        <v>0.5</v>
      </c>
      <c r="U69" s="73">
        <f>VLOOKUP(L69,'[1]POS_EAD_0112 a 3101_CAMP. REG)'!$F$5:$Q$231,12,FALSE)</f>
        <v>121.2</v>
      </c>
      <c r="W69" s="121" t="s">
        <v>184</v>
      </c>
      <c r="X69" s="69" t="s">
        <v>19</v>
      </c>
      <c r="Y69" s="69" t="str">
        <f>VLOOKUP(W69,'[1]POS_EAD_0112 a 3101_CAMP. REG)'!$F$231:$G$461,2,FALSE)</f>
        <v>Humanas</v>
      </c>
      <c r="Z69" s="68">
        <f>VLOOKUP(W69,'[1]POS_EAD_0112 a 3101_CAMP. REG)'!$F$231:$H$461,3,FALSE)</f>
        <v>6</v>
      </c>
      <c r="AA69" s="68">
        <f>VLOOKUP(W69,'[1]POS_EAD_0112 a 3101_CAMP. REG)'!$F$231:$I$461,4,FALSE)</f>
        <v>13</v>
      </c>
      <c r="AB69" s="73">
        <f>VLOOKUP(W69,'[1]POS_EAD_0112 a 3101_CAMP. REG)'!$F$231:$J$461,5,FALSE)</f>
        <v>303.42628200000001</v>
      </c>
      <c r="AC69" s="72">
        <f>VLOOKUP(W69,'[1]POS_EAD_0112 a 3101_CAMP. REG)'!$F$231:$L$461,7,FALSE)</f>
        <v>0.45</v>
      </c>
      <c r="AD69" s="73">
        <f>VLOOKUP(W69,'[1]POS_EAD_0112 a 3101_CAMP. REG)'!$F$231:$M$461,8,FALSE)</f>
        <v>150.19999999999999</v>
      </c>
      <c r="AE69" s="72">
        <f>VLOOKUP(W69,'[1]POS_EAD_0112 a 3101_CAMP. REG)'!$F$231:$P$461,11,FALSE)</f>
        <v>0.5</v>
      </c>
      <c r="AF69" s="73">
        <f>VLOOKUP(W69,'[1]POS_EAD_0112 a 3101_CAMP. REG)'!$F$231:$Q$461,12,FALSE)</f>
        <v>136.54</v>
      </c>
      <c r="AH69" s="121" t="s">
        <v>184</v>
      </c>
      <c r="AI69" s="69" t="s">
        <v>19</v>
      </c>
      <c r="AJ69" s="68" t="str">
        <f>VLOOKUP(UNG[[#This Row],[CURSO]],'[1]POS_EAD_0112 a 3101_CAMP. REG)'!$F$463:$G$688,2,FALSE)</f>
        <v>Humanas</v>
      </c>
      <c r="AK69" s="68">
        <f>VLOOKUP(UNG[[#This Row],[CURSO]],'[1]POS_EAD_0112 a 3101_CAMP. REG)'!$F$463:$H$688,3,FALSE)</f>
        <v>6</v>
      </c>
      <c r="AL69" s="68">
        <f>VLOOKUP(UNG[[#This Row],[CURSO]],'[1]POS_EAD_0112 a 3101_CAMP. REG)'!$F$463:$I$688,4,FALSE)</f>
        <v>13</v>
      </c>
      <c r="AM69" s="71">
        <f>VLOOKUP(UNG[[#This Row],[CURSO]],'[1]POS_EAD_0112 a 3101_CAMP. REG)'!$F$463:$J$688,5,FALSE)</f>
        <v>269.33202599999998</v>
      </c>
      <c r="AN69" s="124">
        <f>VLOOKUP(UNG[[#This Row],[CURSO]],'[1]POS_EAD_0112 a 3101_CAMP. REG)'!$F$463:$L$688,7,FALSE)</f>
        <v>0.45</v>
      </c>
      <c r="AO69" s="71">
        <f>VLOOKUP(UNG[[#This Row],[CURSO]],'[1]POS_EAD_0112 a 3101_CAMP. REG)'!$F$463:$M$688,8,FALSE)</f>
        <v>133.32</v>
      </c>
      <c r="AP69" s="124">
        <f>VLOOKUP(UNG[[#This Row],[CURSO]],'[1]POS_EAD_0112 a 3101_CAMP. REG)'!$F$463:$P$688,11,FALSE)</f>
        <v>0.5</v>
      </c>
      <c r="AQ69" s="71">
        <f>VLOOKUP(UNG[[#This Row],[CURSO]],'[1]POS_EAD_0112 a 3101_CAMP. REG)'!$F$463:$Q$688,12,FALSE)</f>
        <v>121.2</v>
      </c>
      <c r="AS69" s="121" t="s">
        <v>184</v>
      </c>
      <c r="AT69" s="69" t="s">
        <v>19</v>
      </c>
      <c r="AU69" s="69" t="str">
        <f>VLOOKUP(UNINASSAU[[#This Row],[CURSO]],'[1]POS_EAD_0112 a 3101_CAMP. REG)'!$F$690:$G$915,2,FALSE)</f>
        <v>Humanas</v>
      </c>
      <c r="AV69" s="69">
        <f>VLOOKUP(UNINASSAU[[#This Row],[CURSO]],'[1]POS_EAD_0112 a 3101_CAMP. REG)'!$F$690:$H$915,3,FALSE)</f>
        <v>6</v>
      </c>
      <c r="AW69" s="69">
        <f>VLOOKUP(UNINASSAU[[#This Row],[CURSO]],'[1]POS_EAD_0112 a 3101_CAMP. REG)'!$F$690:$I$915,4,FALSE)</f>
        <v>13</v>
      </c>
      <c r="AX69" s="73">
        <f>VLOOKUP(UNINASSAU[[#This Row],[CURSO]],'[1]POS_EAD_0112 a 3101_CAMP. REG)'!$F$690:$J$915,5,FALSE)</f>
        <v>269.33202599999998</v>
      </c>
      <c r="AY69" s="72">
        <f>VLOOKUP(UNINASSAU[[#This Row],[CURSO]],'[1]POS_EAD_0112 a 3101_CAMP. REG)'!$F$690:$L$915,7,FALSE)</f>
        <v>0.45</v>
      </c>
      <c r="AZ69" s="73">
        <f>VLOOKUP(UNINASSAU[[#This Row],[CURSO]],'[1]POS_EAD_0112 a 3101_CAMP. REG)'!$F$690:$N$915,8,FALSE)</f>
        <v>133.32</v>
      </c>
      <c r="BA69" s="72">
        <f>VLOOKUP(UNINASSAU[[#This Row],[CURSO]],'[1]POS_EAD_0112 a 3101_CAMP. REG)'!$F$690:$P$915,11,FALSE)</f>
        <v>0.5</v>
      </c>
      <c r="BB69" s="73">
        <f>VLOOKUP(UNINASSAU[[#This Row],[CURSO]],'[1]POS_EAD_0112 a 3101_CAMP. REG)'!$F$690:$Q$915,12,FALSE)</f>
        <v>121.2</v>
      </c>
      <c r="BD69" s="104">
        <v>66</v>
      </c>
      <c r="BE69" s="121" t="s">
        <v>184</v>
      </c>
      <c r="BF69" s="69" t="s">
        <v>19</v>
      </c>
    </row>
    <row r="70" spans="12:58" x14ac:dyDescent="0.25">
      <c r="L70" s="121" t="s">
        <v>89</v>
      </c>
      <c r="M70" s="69" t="s">
        <v>19</v>
      </c>
      <c r="N70" s="69" t="str">
        <f>VLOOKUP($L$4,'[1]POS_EAD_0112 a 3101_CAMP. REG)'!$F$5:$G$231,2,FALSE)</f>
        <v>Humanas</v>
      </c>
      <c r="O70" s="69">
        <f>VLOOKUP(L70,'[1]POS_EAD_0112 a 3101_CAMP. REG)'!$F$5:$H$231,3,FALSE)</f>
        <v>6</v>
      </c>
      <c r="P70" s="68">
        <f>VLOOKUP(L70,'[1]POS_EAD_0112 a 3101_CAMP. REG)'!$F$5:$I$231,4,FALSE)</f>
        <v>13</v>
      </c>
      <c r="Q70" s="73">
        <f>VLOOKUP(L70,'[1]POS_EAD_0112 a 3101_CAMP. REG)'!$F$5:$J$231,5,FALSE)</f>
        <v>269.33202599999998</v>
      </c>
      <c r="R70" s="124">
        <f>VLOOKUP(L70,'[1]POS_EAD_0112 a 3101_CAMP. REG)'!$F$5:$L$231,7,FALSE)</f>
        <v>0.45</v>
      </c>
      <c r="S70" s="73">
        <f>VLOOKUP(L70,'[1]POS_EAD_0112 a 3101_CAMP. REG)'!$F$5:$M$231,8,FALSE)</f>
        <v>133.32</v>
      </c>
      <c r="T70" s="124">
        <f>VLOOKUP(L70,'[1]POS_EAD_0112 a 3101_CAMP. REG)'!$F$5:$P$231,11,FALSE)</f>
        <v>0.5</v>
      </c>
      <c r="U70" s="73">
        <f>VLOOKUP(L70,'[1]POS_EAD_0112 a 3101_CAMP. REG)'!$F$5:$Q$231,12,FALSE)</f>
        <v>121.2</v>
      </c>
      <c r="W70" s="121" t="s">
        <v>89</v>
      </c>
      <c r="X70" s="69" t="s">
        <v>19</v>
      </c>
      <c r="Y70" s="69" t="str">
        <f>VLOOKUP(W70,'[1]POS_EAD_0112 a 3101_CAMP. REG)'!$F$231:$G$461,2,FALSE)</f>
        <v>Exatas</v>
      </c>
      <c r="Z70" s="68">
        <f>VLOOKUP(W70,'[1]POS_EAD_0112 a 3101_CAMP. REG)'!$F$231:$H$461,3,FALSE)</f>
        <v>6</v>
      </c>
      <c r="AA70" s="68">
        <f>VLOOKUP(W70,'[1]POS_EAD_0112 a 3101_CAMP. REG)'!$F$231:$I$461,4,FALSE)</f>
        <v>13</v>
      </c>
      <c r="AB70" s="73">
        <f>VLOOKUP(W70,'[1]POS_EAD_0112 a 3101_CAMP. REG)'!$F$231:$J$461,5,FALSE)</f>
        <v>303.42628200000001</v>
      </c>
      <c r="AC70" s="72">
        <f>VLOOKUP(W70,'[1]POS_EAD_0112 a 3101_CAMP. REG)'!$F$231:$L$461,7,FALSE)</f>
        <v>0.45</v>
      </c>
      <c r="AD70" s="73">
        <f>VLOOKUP(W70,'[1]POS_EAD_0112 a 3101_CAMP. REG)'!$F$231:$M$461,8,FALSE)</f>
        <v>150.19999999999999</v>
      </c>
      <c r="AE70" s="72">
        <f>VLOOKUP(W70,'[1]POS_EAD_0112 a 3101_CAMP. REG)'!$F$231:$P$461,11,FALSE)</f>
        <v>0.5</v>
      </c>
      <c r="AF70" s="73">
        <f>VLOOKUP(W70,'[1]POS_EAD_0112 a 3101_CAMP. REG)'!$F$231:$Q$461,12,FALSE)</f>
        <v>136.54</v>
      </c>
      <c r="AH70" s="121" t="s">
        <v>89</v>
      </c>
      <c r="AI70" s="69" t="s">
        <v>19</v>
      </c>
      <c r="AJ70" s="68" t="str">
        <f>VLOOKUP(UNG[[#This Row],[CURSO]],'[1]POS_EAD_0112 a 3101_CAMP. REG)'!$F$463:$G$688,2,FALSE)</f>
        <v>Exatas</v>
      </c>
      <c r="AK70" s="68">
        <f>VLOOKUP(UNG[[#This Row],[CURSO]],'[1]POS_EAD_0112 a 3101_CAMP. REG)'!$F$463:$H$688,3,FALSE)</f>
        <v>6</v>
      </c>
      <c r="AL70" s="68">
        <f>VLOOKUP(UNG[[#This Row],[CURSO]],'[1]POS_EAD_0112 a 3101_CAMP. REG)'!$F$463:$I$688,4,FALSE)</f>
        <v>13</v>
      </c>
      <c r="AM70" s="71">
        <f>VLOOKUP(UNG[[#This Row],[CURSO]],'[1]POS_EAD_0112 a 3101_CAMP. REG)'!$F$463:$J$688,5,FALSE)</f>
        <v>269.33202599999998</v>
      </c>
      <c r="AN70" s="124">
        <f>VLOOKUP(UNG[[#This Row],[CURSO]],'[1]POS_EAD_0112 a 3101_CAMP. REG)'!$F$463:$L$688,7,FALSE)</f>
        <v>0.45</v>
      </c>
      <c r="AO70" s="71">
        <f>VLOOKUP(UNG[[#This Row],[CURSO]],'[1]POS_EAD_0112 a 3101_CAMP. REG)'!$F$463:$M$688,8,FALSE)</f>
        <v>133.32</v>
      </c>
      <c r="AP70" s="124">
        <f>VLOOKUP(UNG[[#This Row],[CURSO]],'[1]POS_EAD_0112 a 3101_CAMP. REG)'!$F$463:$P$688,11,FALSE)</f>
        <v>0.5</v>
      </c>
      <c r="AQ70" s="71">
        <f>VLOOKUP(UNG[[#This Row],[CURSO]],'[1]POS_EAD_0112 a 3101_CAMP. REG)'!$F$463:$Q$688,12,FALSE)</f>
        <v>121.2</v>
      </c>
      <c r="AS70" s="121" t="s">
        <v>89</v>
      </c>
      <c r="AT70" s="69" t="s">
        <v>19</v>
      </c>
      <c r="AU70" s="69" t="str">
        <f>VLOOKUP(UNINASSAU[[#This Row],[CURSO]],'[1]POS_EAD_0112 a 3101_CAMP. REG)'!$F$690:$G$915,2,FALSE)</f>
        <v>Exatas</v>
      </c>
      <c r="AV70" s="69">
        <f>VLOOKUP(UNINASSAU[[#This Row],[CURSO]],'[1]POS_EAD_0112 a 3101_CAMP. REG)'!$F$690:$H$915,3,FALSE)</f>
        <v>6</v>
      </c>
      <c r="AW70" s="69">
        <f>VLOOKUP(UNINASSAU[[#This Row],[CURSO]],'[1]POS_EAD_0112 a 3101_CAMP. REG)'!$F$690:$I$915,4,FALSE)</f>
        <v>13</v>
      </c>
      <c r="AX70" s="73">
        <f>VLOOKUP(UNINASSAU[[#This Row],[CURSO]],'[1]POS_EAD_0112 a 3101_CAMP. REG)'!$F$690:$J$915,5,FALSE)</f>
        <v>269.33202599999998</v>
      </c>
      <c r="AY70" s="72">
        <f>VLOOKUP(UNINASSAU[[#This Row],[CURSO]],'[1]POS_EAD_0112 a 3101_CAMP. REG)'!$F$690:$L$915,7,FALSE)</f>
        <v>0.45</v>
      </c>
      <c r="AZ70" s="73">
        <f>VLOOKUP(UNINASSAU[[#This Row],[CURSO]],'[1]POS_EAD_0112 a 3101_CAMP. REG)'!$F$690:$N$915,8,FALSE)</f>
        <v>133.32</v>
      </c>
      <c r="BA70" s="72">
        <f>VLOOKUP(UNINASSAU[[#This Row],[CURSO]],'[1]POS_EAD_0112 a 3101_CAMP. REG)'!$F$690:$P$915,11,FALSE)</f>
        <v>0.5</v>
      </c>
      <c r="BB70" s="73">
        <f>VLOOKUP(UNINASSAU[[#This Row],[CURSO]],'[1]POS_EAD_0112 a 3101_CAMP. REG)'!$F$690:$Q$915,12,FALSE)</f>
        <v>121.2</v>
      </c>
      <c r="BD70" s="104">
        <v>67</v>
      </c>
      <c r="BE70" s="121" t="s">
        <v>89</v>
      </c>
      <c r="BF70" s="69" t="s">
        <v>19</v>
      </c>
    </row>
    <row r="71" spans="12:58" x14ac:dyDescent="0.25">
      <c r="L71" s="121" t="s">
        <v>211</v>
      </c>
      <c r="M71" s="69" t="s">
        <v>19</v>
      </c>
      <c r="N71" s="69" t="str">
        <f>VLOOKUP($L$4,'[1]POS_EAD_0112 a 3101_CAMP. REG)'!$F$5:$G$231,2,FALSE)</f>
        <v>Humanas</v>
      </c>
      <c r="O71" s="69">
        <f>VLOOKUP(L71,'[1]POS_EAD_0112 a 3101_CAMP. REG)'!$F$5:$H$231,3,FALSE)</f>
        <v>6</v>
      </c>
      <c r="P71" s="68">
        <f>VLOOKUP(L71,'[1]POS_EAD_0112 a 3101_CAMP. REG)'!$F$5:$I$231,4,FALSE)</f>
        <v>13</v>
      </c>
      <c r="Q71" s="73">
        <f>VLOOKUP(L71,'[1]POS_EAD_0112 a 3101_CAMP. REG)'!$F$5:$J$231,5,FALSE)</f>
        <v>405.70905000000005</v>
      </c>
      <c r="R71" s="124">
        <f>VLOOKUP(L71,'[1]POS_EAD_0112 a 3101_CAMP. REG)'!$F$5:$L$231,7,FALSE)</f>
        <v>0.45</v>
      </c>
      <c r="S71" s="73">
        <f>VLOOKUP(L71,'[1]POS_EAD_0112 a 3101_CAMP. REG)'!$F$5:$M$231,8,FALSE)</f>
        <v>200.83</v>
      </c>
      <c r="T71" s="124">
        <f>VLOOKUP(L71,'[1]POS_EAD_0112 a 3101_CAMP. REG)'!$F$5:$P$231,11,FALSE)</f>
        <v>0.5</v>
      </c>
      <c r="U71" s="73">
        <f>VLOOKUP(L71,'[1]POS_EAD_0112 a 3101_CAMP. REG)'!$F$5:$Q$231,12,FALSE)</f>
        <v>182.57</v>
      </c>
      <c r="W71" s="121" t="s">
        <v>211</v>
      </c>
      <c r="X71" s="69" t="s">
        <v>19</v>
      </c>
      <c r="Y71" s="69" t="str">
        <f>VLOOKUP(W71,'[1]POS_EAD_0112 a 3101_CAMP. REG)'!$F$231:$G$461,2,FALSE)</f>
        <v>Saúde</v>
      </c>
      <c r="Z71" s="68">
        <f>VLOOKUP(W71,'[1]POS_EAD_0112 a 3101_CAMP. REG)'!$F$231:$H$461,3,FALSE)</f>
        <v>6</v>
      </c>
      <c r="AA71" s="68">
        <f>VLOOKUP(W71,'[1]POS_EAD_0112 a 3101_CAMP. REG)'!$F$231:$I$461,4,FALSE)</f>
        <v>13</v>
      </c>
      <c r="AB71" s="73">
        <f>VLOOKUP(W71,'[1]POS_EAD_0112 a 3101_CAMP. REG)'!$F$231:$J$461,5,FALSE)</f>
        <v>439.79280900000003</v>
      </c>
      <c r="AC71" s="72">
        <f>VLOOKUP(W71,'[1]POS_EAD_0112 a 3101_CAMP. REG)'!$F$231:$L$461,7,FALSE)</f>
        <v>0.45</v>
      </c>
      <c r="AD71" s="73">
        <f>VLOOKUP(W71,'[1]POS_EAD_0112 a 3101_CAMP. REG)'!$F$231:$M$461,8,FALSE)</f>
        <v>217.7</v>
      </c>
      <c r="AE71" s="72">
        <f>VLOOKUP(W71,'[1]POS_EAD_0112 a 3101_CAMP. REG)'!$F$231:$P$461,11,FALSE)</f>
        <v>0.5</v>
      </c>
      <c r="AF71" s="73">
        <f>VLOOKUP(W71,'[1]POS_EAD_0112 a 3101_CAMP. REG)'!$F$231:$Q$461,12,FALSE)</f>
        <v>197.91</v>
      </c>
      <c r="AH71" s="121" t="s">
        <v>211</v>
      </c>
      <c r="AI71" s="69" t="s">
        <v>19</v>
      </c>
      <c r="AJ71" s="68" t="str">
        <f>VLOOKUP(UNG[[#This Row],[CURSO]],'[1]POS_EAD_0112 a 3101_CAMP. REG)'!$F$463:$G$688,2,FALSE)</f>
        <v>Saúde</v>
      </c>
      <c r="AK71" s="68">
        <f>VLOOKUP(UNG[[#This Row],[CURSO]],'[1]POS_EAD_0112 a 3101_CAMP. REG)'!$F$463:$H$688,3,FALSE)</f>
        <v>6</v>
      </c>
      <c r="AL71" s="68">
        <f>VLOOKUP(UNG[[#This Row],[CURSO]],'[1]POS_EAD_0112 a 3101_CAMP. REG)'!$F$463:$I$688,4,FALSE)</f>
        <v>13</v>
      </c>
      <c r="AM71" s="71">
        <f>VLOOKUP(UNG[[#This Row],[CURSO]],'[1]POS_EAD_0112 a 3101_CAMP. REG)'!$F$463:$J$688,5,FALSE)</f>
        <v>405.70905000000005</v>
      </c>
      <c r="AN71" s="124">
        <f>VLOOKUP(UNG[[#This Row],[CURSO]],'[1]POS_EAD_0112 a 3101_CAMP. REG)'!$F$463:$L$688,7,FALSE)</f>
        <v>0.45</v>
      </c>
      <c r="AO71" s="71">
        <f>VLOOKUP(UNG[[#This Row],[CURSO]],'[1]POS_EAD_0112 a 3101_CAMP. REG)'!$F$463:$M$688,8,FALSE)</f>
        <v>200.83</v>
      </c>
      <c r="AP71" s="124">
        <f>VLOOKUP(UNG[[#This Row],[CURSO]],'[1]POS_EAD_0112 a 3101_CAMP. REG)'!$F$463:$P$688,11,FALSE)</f>
        <v>0.5</v>
      </c>
      <c r="AQ71" s="71">
        <f>VLOOKUP(UNG[[#This Row],[CURSO]],'[1]POS_EAD_0112 a 3101_CAMP. REG)'!$F$463:$Q$688,12,FALSE)</f>
        <v>182.57</v>
      </c>
      <c r="AS71" s="121" t="s">
        <v>211</v>
      </c>
      <c r="AT71" s="69" t="s">
        <v>19</v>
      </c>
      <c r="AU71" s="69" t="str">
        <f>VLOOKUP(UNINASSAU[[#This Row],[CURSO]],'[1]POS_EAD_0112 a 3101_CAMP. REG)'!$F$690:$G$915,2,FALSE)</f>
        <v>Saúde</v>
      </c>
      <c r="AV71" s="69">
        <f>VLOOKUP(UNINASSAU[[#This Row],[CURSO]],'[1]POS_EAD_0112 a 3101_CAMP. REG)'!$F$690:$H$915,3,FALSE)</f>
        <v>6</v>
      </c>
      <c r="AW71" s="69">
        <f>VLOOKUP(UNINASSAU[[#This Row],[CURSO]],'[1]POS_EAD_0112 a 3101_CAMP. REG)'!$F$690:$I$915,4,FALSE)</f>
        <v>13</v>
      </c>
      <c r="AX71" s="73">
        <f>VLOOKUP(UNINASSAU[[#This Row],[CURSO]],'[1]POS_EAD_0112 a 3101_CAMP. REG)'!$F$690:$J$915,5,FALSE)</f>
        <v>405.70905000000005</v>
      </c>
      <c r="AY71" s="72">
        <f>VLOOKUP(UNINASSAU[[#This Row],[CURSO]],'[1]POS_EAD_0112 a 3101_CAMP. REG)'!$F$690:$L$915,7,FALSE)</f>
        <v>0.45</v>
      </c>
      <c r="AZ71" s="73">
        <f>VLOOKUP(UNINASSAU[[#This Row],[CURSO]],'[1]POS_EAD_0112 a 3101_CAMP. REG)'!$F$690:$N$915,8,FALSE)</f>
        <v>200.83</v>
      </c>
      <c r="BA71" s="72">
        <f>VLOOKUP(UNINASSAU[[#This Row],[CURSO]],'[1]POS_EAD_0112 a 3101_CAMP. REG)'!$F$690:$P$915,11,FALSE)</f>
        <v>0.5</v>
      </c>
      <c r="BB71" s="73">
        <f>VLOOKUP(UNINASSAU[[#This Row],[CURSO]],'[1]POS_EAD_0112 a 3101_CAMP. REG)'!$F$690:$Q$915,12,FALSE)</f>
        <v>182.57</v>
      </c>
      <c r="BD71" s="104">
        <v>68</v>
      </c>
      <c r="BE71" s="121" t="s">
        <v>211</v>
      </c>
      <c r="BF71" s="69" t="s">
        <v>19</v>
      </c>
    </row>
    <row r="72" spans="12:58" x14ac:dyDescent="0.25">
      <c r="L72" s="121" t="s">
        <v>171</v>
      </c>
      <c r="M72" s="69" t="s">
        <v>19</v>
      </c>
      <c r="N72" s="69" t="str">
        <f>VLOOKUP($L$4,'[1]POS_EAD_0112 a 3101_CAMP. REG)'!$F$5:$G$231,2,FALSE)</f>
        <v>Humanas</v>
      </c>
      <c r="O72" s="69">
        <f>VLOOKUP(L72,'[1]POS_EAD_0112 a 3101_CAMP. REG)'!$F$5:$H$231,3,FALSE)</f>
        <v>6</v>
      </c>
      <c r="P72" s="68">
        <f>VLOOKUP(L72,'[1]POS_EAD_0112 a 3101_CAMP. REG)'!$F$5:$I$231,4,FALSE)</f>
        <v>13</v>
      </c>
      <c r="Q72" s="73">
        <f>VLOOKUP(L72,'[1]POS_EAD_0112 a 3101_CAMP. REG)'!$F$5:$J$231,5,FALSE)</f>
        <v>269.33202599999998</v>
      </c>
      <c r="R72" s="124">
        <f>VLOOKUP(L72,'[1]POS_EAD_0112 a 3101_CAMP. REG)'!$F$5:$L$231,7,FALSE)</f>
        <v>0.45</v>
      </c>
      <c r="S72" s="73">
        <f>VLOOKUP(L72,'[1]POS_EAD_0112 a 3101_CAMP. REG)'!$F$5:$M$231,8,FALSE)</f>
        <v>133.32</v>
      </c>
      <c r="T72" s="124">
        <f>VLOOKUP(L72,'[1]POS_EAD_0112 a 3101_CAMP. REG)'!$F$5:$P$231,11,FALSE)</f>
        <v>0.5</v>
      </c>
      <c r="U72" s="73">
        <f>VLOOKUP(L72,'[1]POS_EAD_0112 a 3101_CAMP. REG)'!$F$5:$Q$231,12,FALSE)</f>
        <v>121.2</v>
      </c>
      <c r="W72" s="121" t="s">
        <v>171</v>
      </c>
      <c r="X72" s="69" t="s">
        <v>19</v>
      </c>
      <c r="Y72" s="69" t="str">
        <f>VLOOKUP(W72,'[1]POS_EAD_0112 a 3101_CAMP. REG)'!$F$231:$G$461,2,FALSE)</f>
        <v>Exatas</v>
      </c>
      <c r="Z72" s="68">
        <f>VLOOKUP(W72,'[1]POS_EAD_0112 a 3101_CAMP. REG)'!$F$231:$H$461,3,FALSE)</f>
        <v>6</v>
      </c>
      <c r="AA72" s="68">
        <f>VLOOKUP(W72,'[1]POS_EAD_0112 a 3101_CAMP. REG)'!$F$231:$I$461,4,FALSE)</f>
        <v>13</v>
      </c>
      <c r="AB72" s="73">
        <f>VLOOKUP(W72,'[1]POS_EAD_0112 a 3101_CAMP. REG)'!$F$231:$J$461,5,FALSE)</f>
        <v>303.42628200000001</v>
      </c>
      <c r="AC72" s="72">
        <f>VLOOKUP(W72,'[1]POS_EAD_0112 a 3101_CAMP. REG)'!$F$231:$L$461,7,FALSE)</f>
        <v>0.45</v>
      </c>
      <c r="AD72" s="73">
        <f>VLOOKUP(W72,'[1]POS_EAD_0112 a 3101_CAMP. REG)'!$F$231:$M$461,8,FALSE)</f>
        <v>150.19999999999999</v>
      </c>
      <c r="AE72" s="72">
        <f>VLOOKUP(W72,'[1]POS_EAD_0112 a 3101_CAMP. REG)'!$F$231:$P$461,11,FALSE)</f>
        <v>0.5</v>
      </c>
      <c r="AF72" s="73">
        <f>VLOOKUP(W72,'[1]POS_EAD_0112 a 3101_CAMP. REG)'!$F$231:$Q$461,12,FALSE)</f>
        <v>136.54</v>
      </c>
      <c r="AH72" s="121" t="s">
        <v>171</v>
      </c>
      <c r="AI72" s="69" t="s">
        <v>19</v>
      </c>
      <c r="AJ72" s="68" t="str">
        <f>VLOOKUP(UNG[[#This Row],[CURSO]],'[1]POS_EAD_0112 a 3101_CAMP. REG)'!$F$463:$G$688,2,FALSE)</f>
        <v>Exatas</v>
      </c>
      <c r="AK72" s="68">
        <f>VLOOKUP(UNG[[#This Row],[CURSO]],'[1]POS_EAD_0112 a 3101_CAMP. REG)'!$F$463:$H$688,3,FALSE)</f>
        <v>6</v>
      </c>
      <c r="AL72" s="68">
        <f>VLOOKUP(UNG[[#This Row],[CURSO]],'[1]POS_EAD_0112 a 3101_CAMP. REG)'!$F$463:$I$688,4,FALSE)</f>
        <v>13</v>
      </c>
      <c r="AM72" s="71">
        <f>VLOOKUP(UNG[[#This Row],[CURSO]],'[1]POS_EAD_0112 a 3101_CAMP. REG)'!$F$463:$J$688,5,FALSE)</f>
        <v>269.33202599999998</v>
      </c>
      <c r="AN72" s="124">
        <f>VLOOKUP(UNG[[#This Row],[CURSO]],'[1]POS_EAD_0112 a 3101_CAMP. REG)'!$F$463:$L$688,7,FALSE)</f>
        <v>0.45</v>
      </c>
      <c r="AO72" s="71">
        <f>VLOOKUP(UNG[[#This Row],[CURSO]],'[1]POS_EAD_0112 a 3101_CAMP. REG)'!$F$463:$M$688,8,FALSE)</f>
        <v>133.32</v>
      </c>
      <c r="AP72" s="124">
        <f>VLOOKUP(UNG[[#This Row],[CURSO]],'[1]POS_EAD_0112 a 3101_CAMP. REG)'!$F$463:$P$688,11,FALSE)</f>
        <v>0.5</v>
      </c>
      <c r="AQ72" s="71">
        <f>VLOOKUP(UNG[[#This Row],[CURSO]],'[1]POS_EAD_0112 a 3101_CAMP. REG)'!$F$463:$Q$688,12,FALSE)</f>
        <v>121.2</v>
      </c>
      <c r="AS72" s="121" t="s">
        <v>171</v>
      </c>
      <c r="AT72" s="69" t="s">
        <v>19</v>
      </c>
      <c r="AU72" s="69" t="str">
        <f>VLOOKUP(UNINASSAU[[#This Row],[CURSO]],'[1]POS_EAD_0112 a 3101_CAMP. REG)'!$F$690:$G$915,2,FALSE)</f>
        <v>Exatas</v>
      </c>
      <c r="AV72" s="69">
        <f>VLOOKUP(UNINASSAU[[#This Row],[CURSO]],'[1]POS_EAD_0112 a 3101_CAMP. REG)'!$F$690:$H$915,3,FALSE)</f>
        <v>6</v>
      </c>
      <c r="AW72" s="69">
        <f>VLOOKUP(UNINASSAU[[#This Row],[CURSO]],'[1]POS_EAD_0112 a 3101_CAMP. REG)'!$F$690:$I$915,4,FALSE)</f>
        <v>13</v>
      </c>
      <c r="AX72" s="73">
        <f>VLOOKUP(UNINASSAU[[#This Row],[CURSO]],'[1]POS_EAD_0112 a 3101_CAMP. REG)'!$F$690:$J$915,5,FALSE)</f>
        <v>269.33202599999998</v>
      </c>
      <c r="AY72" s="72">
        <f>VLOOKUP(UNINASSAU[[#This Row],[CURSO]],'[1]POS_EAD_0112 a 3101_CAMP. REG)'!$F$690:$L$915,7,FALSE)</f>
        <v>0.45</v>
      </c>
      <c r="AZ72" s="73">
        <f>VLOOKUP(UNINASSAU[[#This Row],[CURSO]],'[1]POS_EAD_0112 a 3101_CAMP. REG)'!$F$690:$N$915,8,FALSE)</f>
        <v>133.32</v>
      </c>
      <c r="BA72" s="72">
        <f>VLOOKUP(UNINASSAU[[#This Row],[CURSO]],'[1]POS_EAD_0112 a 3101_CAMP. REG)'!$F$690:$P$915,11,FALSE)</f>
        <v>0.5</v>
      </c>
      <c r="BB72" s="73">
        <f>VLOOKUP(UNINASSAU[[#This Row],[CURSO]],'[1]POS_EAD_0112 a 3101_CAMP. REG)'!$F$690:$Q$915,12,FALSE)</f>
        <v>121.2</v>
      </c>
      <c r="BD72" s="104">
        <v>69</v>
      </c>
      <c r="BE72" s="121" t="s">
        <v>171</v>
      </c>
      <c r="BF72" s="69" t="s">
        <v>19</v>
      </c>
    </row>
    <row r="73" spans="12:58" x14ac:dyDescent="0.25">
      <c r="L73" s="121" t="s">
        <v>120</v>
      </c>
      <c r="M73" s="69" t="s">
        <v>19</v>
      </c>
      <c r="N73" s="69" t="str">
        <f>VLOOKUP($L$4,'[1]POS_EAD_0112 a 3101_CAMP. REG)'!$F$5:$G$231,2,FALSE)</f>
        <v>Humanas</v>
      </c>
      <c r="O73" s="69">
        <f>VLOOKUP(L73,'[1]POS_EAD_0112 a 3101_CAMP. REG)'!$F$5:$H$231,3,FALSE)</f>
        <v>6</v>
      </c>
      <c r="P73" s="68">
        <f>VLOOKUP(L73,'[1]POS_EAD_0112 a 3101_CAMP. REG)'!$F$5:$I$231,4,FALSE)</f>
        <v>13</v>
      </c>
      <c r="Q73" s="73">
        <f>VLOOKUP(L73,'[1]POS_EAD_0112 a 3101_CAMP. REG)'!$F$5:$J$231,5,FALSE)</f>
        <v>269.33202599999998</v>
      </c>
      <c r="R73" s="124">
        <f>VLOOKUP(L73,'[1]POS_EAD_0112 a 3101_CAMP. REG)'!$F$5:$L$231,7,FALSE)</f>
        <v>0.45</v>
      </c>
      <c r="S73" s="73">
        <f>VLOOKUP(L73,'[1]POS_EAD_0112 a 3101_CAMP. REG)'!$F$5:$M$231,8,FALSE)</f>
        <v>133.32</v>
      </c>
      <c r="T73" s="124">
        <f>VLOOKUP(L73,'[1]POS_EAD_0112 a 3101_CAMP. REG)'!$F$5:$P$231,11,FALSE)</f>
        <v>0.5</v>
      </c>
      <c r="U73" s="73">
        <f>VLOOKUP(L73,'[1]POS_EAD_0112 a 3101_CAMP. REG)'!$F$5:$Q$231,12,FALSE)</f>
        <v>121.2</v>
      </c>
      <c r="W73" s="121" t="s">
        <v>120</v>
      </c>
      <c r="X73" s="69" t="s">
        <v>19</v>
      </c>
      <c r="Y73" s="69" t="str">
        <f>VLOOKUP(W73,'[1]POS_EAD_0112 a 3101_CAMP. REG)'!$F$231:$G$461,2,FALSE)</f>
        <v>Exatas</v>
      </c>
      <c r="Z73" s="68">
        <f>VLOOKUP(W73,'[1]POS_EAD_0112 a 3101_CAMP. REG)'!$F$231:$H$461,3,FALSE)</f>
        <v>6</v>
      </c>
      <c r="AA73" s="68">
        <f>VLOOKUP(W73,'[1]POS_EAD_0112 a 3101_CAMP. REG)'!$F$231:$I$461,4,FALSE)</f>
        <v>13</v>
      </c>
      <c r="AB73" s="73">
        <f>VLOOKUP(W73,'[1]POS_EAD_0112 a 3101_CAMP. REG)'!$F$231:$J$461,5,FALSE)</f>
        <v>303.42628200000001</v>
      </c>
      <c r="AC73" s="72">
        <f>VLOOKUP(W73,'[1]POS_EAD_0112 a 3101_CAMP. REG)'!$F$231:$L$461,7,FALSE)</f>
        <v>0.45</v>
      </c>
      <c r="AD73" s="73">
        <f>VLOOKUP(W73,'[1]POS_EAD_0112 a 3101_CAMP. REG)'!$F$231:$M$461,8,FALSE)</f>
        <v>150.19999999999999</v>
      </c>
      <c r="AE73" s="72">
        <f>VLOOKUP(W73,'[1]POS_EAD_0112 a 3101_CAMP. REG)'!$F$231:$P$461,11,FALSE)</f>
        <v>0.5</v>
      </c>
      <c r="AF73" s="73">
        <f>VLOOKUP(W73,'[1]POS_EAD_0112 a 3101_CAMP. REG)'!$F$231:$Q$461,12,FALSE)</f>
        <v>136.54</v>
      </c>
      <c r="AH73" s="121" t="s">
        <v>120</v>
      </c>
      <c r="AI73" s="69" t="s">
        <v>19</v>
      </c>
      <c r="AJ73" s="68" t="str">
        <f>VLOOKUP(UNG[[#This Row],[CURSO]],'[1]POS_EAD_0112 a 3101_CAMP. REG)'!$F$463:$G$688,2,FALSE)</f>
        <v>Exatas</v>
      </c>
      <c r="AK73" s="68">
        <f>VLOOKUP(UNG[[#This Row],[CURSO]],'[1]POS_EAD_0112 a 3101_CAMP. REG)'!$F$463:$H$688,3,FALSE)</f>
        <v>6</v>
      </c>
      <c r="AL73" s="68">
        <f>VLOOKUP(UNG[[#This Row],[CURSO]],'[1]POS_EAD_0112 a 3101_CAMP. REG)'!$F$463:$I$688,4,FALSE)</f>
        <v>13</v>
      </c>
      <c r="AM73" s="71">
        <f>VLOOKUP(UNG[[#This Row],[CURSO]],'[1]POS_EAD_0112 a 3101_CAMP. REG)'!$F$463:$J$688,5,FALSE)</f>
        <v>269.33202599999998</v>
      </c>
      <c r="AN73" s="124">
        <f>VLOOKUP(UNG[[#This Row],[CURSO]],'[1]POS_EAD_0112 a 3101_CAMP. REG)'!$F$463:$L$688,7,FALSE)</f>
        <v>0.45</v>
      </c>
      <c r="AO73" s="71">
        <f>VLOOKUP(UNG[[#This Row],[CURSO]],'[1]POS_EAD_0112 a 3101_CAMP. REG)'!$F$463:$M$688,8,FALSE)</f>
        <v>133.32</v>
      </c>
      <c r="AP73" s="124">
        <f>VLOOKUP(UNG[[#This Row],[CURSO]],'[1]POS_EAD_0112 a 3101_CAMP. REG)'!$F$463:$P$688,11,FALSE)</f>
        <v>0.5</v>
      </c>
      <c r="AQ73" s="71">
        <f>VLOOKUP(UNG[[#This Row],[CURSO]],'[1]POS_EAD_0112 a 3101_CAMP. REG)'!$F$463:$Q$688,12,FALSE)</f>
        <v>121.2</v>
      </c>
      <c r="AS73" s="121" t="s">
        <v>120</v>
      </c>
      <c r="AT73" s="69" t="s">
        <v>19</v>
      </c>
      <c r="AU73" s="69" t="str">
        <f>VLOOKUP(UNINASSAU[[#This Row],[CURSO]],'[1]POS_EAD_0112 a 3101_CAMP. REG)'!$F$690:$G$915,2,FALSE)</f>
        <v>Exatas</v>
      </c>
      <c r="AV73" s="69">
        <f>VLOOKUP(UNINASSAU[[#This Row],[CURSO]],'[1]POS_EAD_0112 a 3101_CAMP. REG)'!$F$690:$H$915,3,FALSE)</f>
        <v>6</v>
      </c>
      <c r="AW73" s="69">
        <f>VLOOKUP(UNINASSAU[[#This Row],[CURSO]],'[1]POS_EAD_0112 a 3101_CAMP. REG)'!$F$690:$I$915,4,FALSE)</f>
        <v>13</v>
      </c>
      <c r="AX73" s="73">
        <f>VLOOKUP(UNINASSAU[[#This Row],[CURSO]],'[1]POS_EAD_0112 a 3101_CAMP. REG)'!$F$690:$J$915,5,FALSE)</f>
        <v>269.33202599999998</v>
      </c>
      <c r="AY73" s="72">
        <f>VLOOKUP(UNINASSAU[[#This Row],[CURSO]],'[1]POS_EAD_0112 a 3101_CAMP. REG)'!$F$690:$L$915,7,FALSE)</f>
        <v>0.45</v>
      </c>
      <c r="AZ73" s="73">
        <f>VLOOKUP(UNINASSAU[[#This Row],[CURSO]],'[1]POS_EAD_0112 a 3101_CAMP. REG)'!$F$690:$N$915,8,FALSE)</f>
        <v>133.32</v>
      </c>
      <c r="BA73" s="72">
        <f>VLOOKUP(UNINASSAU[[#This Row],[CURSO]],'[1]POS_EAD_0112 a 3101_CAMP. REG)'!$F$690:$P$915,11,FALSE)</f>
        <v>0.5</v>
      </c>
      <c r="BB73" s="73">
        <f>VLOOKUP(UNINASSAU[[#This Row],[CURSO]],'[1]POS_EAD_0112 a 3101_CAMP. REG)'!$F$690:$Q$915,12,FALSE)</f>
        <v>121.2</v>
      </c>
      <c r="BD73" s="104">
        <v>70</v>
      </c>
      <c r="BE73" s="121" t="s">
        <v>120</v>
      </c>
      <c r="BF73" s="69" t="s">
        <v>19</v>
      </c>
    </row>
    <row r="74" spans="12:58" x14ac:dyDescent="0.25">
      <c r="L74" s="121" t="s">
        <v>38</v>
      </c>
      <c r="M74" s="69" t="s">
        <v>19</v>
      </c>
      <c r="N74" s="69" t="str">
        <f>VLOOKUP($L$4,'[1]POS_EAD_0112 a 3101_CAMP. REG)'!$F$5:$G$231,2,FALSE)</f>
        <v>Humanas</v>
      </c>
      <c r="O74" s="69">
        <f>VLOOKUP(L74,'[1]POS_EAD_0112 a 3101_CAMP. REG)'!$F$5:$H$231,3,FALSE)</f>
        <v>6</v>
      </c>
      <c r="P74" s="68">
        <f>VLOOKUP(L74,'[1]POS_EAD_0112 a 3101_CAMP. REG)'!$F$5:$I$231,4,FALSE)</f>
        <v>13</v>
      </c>
      <c r="Q74" s="73">
        <f>VLOOKUP(L74,'[1]POS_EAD_0112 a 3101_CAMP. REG)'!$F$5:$J$231,5,FALSE)</f>
        <v>405.70905000000005</v>
      </c>
      <c r="R74" s="124">
        <f>VLOOKUP(L74,'[1]POS_EAD_0112 a 3101_CAMP. REG)'!$F$5:$L$231,7,FALSE)</f>
        <v>0.45</v>
      </c>
      <c r="S74" s="73">
        <f>VLOOKUP(L74,'[1]POS_EAD_0112 a 3101_CAMP. REG)'!$F$5:$M$231,8,FALSE)</f>
        <v>200.83</v>
      </c>
      <c r="T74" s="124">
        <f>VLOOKUP(L74,'[1]POS_EAD_0112 a 3101_CAMP. REG)'!$F$5:$P$231,11,FALSE)</f>
        <v>0.5</v>
      </c>
      <c r="U74" s="73">
        <f>VLOOKUP(L74,'[1]POS_EAD_0112 a 3101_CAMP. REG)'!$F$5:$Q$231,12,FALSE)</f>
        <v>182.57</v>
      </c>
      <c r="W74" s="121" t="s">
        <v>38</v>
      </c>
      <c r="X74" s="69" t="s">
        <v>19</v>
      </c>
      <c r="Y74" s="69" t="str">
        <f>VLOOKUP(W74,'[1]POS_EAD_0112 a 3101_CAMP. REG)'!$F$231:$G$461,2,FALSE)</f>
        <v>Humanas</v>
      </c>
      <c r="Z74" s="68">
        <f>VLOOKUP(W74,'[1]POS_EAD_0112 a 3101_CAMP. REG)'!$F$231:$H$461,3,FALSE)</f>
        <v>6</v>
      </c>
      <c r="AA74" s="68">
        <f>VLOOKUP(W74,'[1]POS_EAD_0112 a 3101_CAMP. REG)'!$F$231:$I$461,4,FALSE)</f>
        <v>13</v>
      </c>
      <c r="AB74" s="73">
        <f>VLOOKUP(W74,'[1]POS_EAD_0112 a 3101_CAMP. REG)'!$F$231:$J$461,5,FALSE)</f>
        <v>439.79280900000003</v>
      </c>
      <c r="AC74" s="72">
        <f>VLOOKUP(W74,'[1]POS_EAD_0112 a 3101_CAMP. REG)'!$F$231:$L$461,7,FALSE)</f>
        <v>0.45</v>
      </c>
      <c r="AD74" s="73">
        <f>VLOOKUP(W74,'[1]POS_EAD_0112 a 3101_CAMP. REG)'!$F$231:$M$461,8,FALSE)</f>
        <v>217.7</v>
      </c>
      <c r="AE74" s="72">
        <f>VLOOKUP(W74,'[1]POS_EAD_0112 a 3101_CAMP. REG)'!$F$231:$P$461,11,FALSE)</f>
        <v>0.5</v>
      </c>
      <c r="AF74" s="73">
        <f>VLOOKUP(W74,'[1]POS_EAD_0112 a 3101_CAMP. REG)'!$F$231:$Q$461,12,FALSE)</f>
        <v>197.91</v>
      </c>
      <c r="AH74" s="121" t="s">
        <v>38</v>
      </c>
      <c r="AI74" s="69" t="s">
        <v>19</v>
      </c>
      <c r="AJ74" s="68" t="str">
        <f>VLOOKUP(UNG[[#This Row],[CURSO]],'[1]POS_EAD_0112 a 3101_CAMP. REG)'!$F$463:$G$688,2,FALSE)</f>
        <v>Humanas</v>
      </c>
      <c r="AK74" s="68">
        <f>VLOOKUP(UNG[[#This Row],[CURSO]],'[1]POS_EAD_0112 a 3101_CAMP. REG)'!$F$463:$H$688,3,FALSE)</f>
        <v>6</v>
      </c>
      <c r="AL74" s="68">
        <f>VLOOKUP(UNG[[#This Row],[CURSO]],'[1]POS_EAD_0112 a 3101_CAMP. REG)'!$F$463:$I$688,4,FALSE)</f>
        <v>13</v>
      </c>
      <c r="AM74" s="71">
        <f>VLOOKUP(UNG[[#This Row],[CURSO]],'[1]POS_EAD_0112 a 3101_CAMP. REG)'!$F$463:$J$688,5,FALSE)</f>
        <v>405.70905000000005</v>
      </c>
      <c r="AN74" s="124">
        <f>VLOOKUP(UNG[[#This Row],[CURSO]],'[1]POS_EAD_0112 a 3101_CAMP. REG)'!$F$463:$L$688,7,FALSE)</f>
        <v>0.45</v>
      </c>
      <c r="AO74" s="71">
        <f>VLOOKUP(UNG[[#This Row],[CURSO]],'[1]POS_EAD_0112 a 3101_CAMP. REG)'!$F$463:$M$688,8,FALSE)</f>
        <v>200.83</v>
      </c>
      <c r="AP74" s="124">
        <f>VLOOKUP(UNG[[#This Row],[CURSO]],'[1]POS_EAD_0112 a 3101_CAMP. REG)'!$F$463:$P$688,11,FALSE)</f>
        <v>0.5</v>
      </c>
      <c r="AQ74" s="71">
        <f>VLOOKUP(UNG[[#This Row],[CURSO]],'[1]POS_EAD_0112 a 3101_CAMP. REG)'!$F$463:$Q$688,12,FALSE)</f>
        <v>182.57</v>
      </c>
      <c r="AS74" s="121" t="s">
        <v>38</v>
      </c>
      <c r="AT74" s="69" t="s">
        <v>19</v>
      </c>
      <c r="AU74" s="69" t="str">
        <f>VLOOKUP(UNINASSAU[[#This Row],[CURSO]],'[1]POS_EAD_0112 a 3101_CAMP. REG)'!$F$690:$G$915,2,FALSE)</f>
        <v>Humanas</v>
      </c>
      <c r="AV74" s="69">
        <f>VLOOKUP(UNINASSAU[[#This Row],[CURSO]],'[1]POS_EAD_0112 a 3101_CAMP. REG)'!$F$690:$H$915,3,FALSE)</f>
        <v>6</v>
      </c>
      <c r="AW74" s="69">
        <f>VLOOKUP(UNINASSAU[[#This Row],[CURSO]],'[1]POS_EAD_0112 a 3101_CAMP. REG)'!$F$690:$I$915,4,FALSE)</f>
        <v>13</v>
      </c>
      <c r="AX74" s="73">
        <f>VLOOKUP(UNINASSAU[[#This Row],[CURSO]],'[1]POS_EAD_0112 a 3101_CAMP. REG)'!$F$690:$J$915,5,FALSE)</f>
        <v>405.70905000000005</v>
      </c>
      <c r="AY74" s="72">
        <f>VLOOKUP(UNINASSAU[[#This Row],[CURSO]],'[1]POS_EAD_0112 a 3101_CAMP. REG)'!$F$690:$L$915,7,FALSE)</f>
        <v>0.45</v>
      </c>
      <c r="AZ74" s="73">
        <f>VLOOKUP(UNINASSAU[[#This Row],[CURSO]],'[1]POS_EAD_0112 a 3101_CAMP. REG)'!$F$690:$N$915,8,FALSE)</f>
        <v>200.83</v>
      </c>
      <c r="BA74" s="72">
        <f>VLOOKUP(UNINASSAU[[#This Row],[CURSO]],'[1]POS_EAD_0112 a 3101_CAMP. REG)'!$F$690:$P$915,11,FALSE)</f>
        <v>0.5</v>
      </c>
      <c r="BB74" s="73">
        <f>VLOOKUP(UNINASSAU[[#This Row],[CURSO]],'[1]POS_EAD_0112 a 3101_CAMP. REG)'!$F$690:$Q$915,12,FALSE)</f>
        <v>182.57</v>
      </c>
      <c r="BD74" s="104">
        <v>71</v>
      </c>
      <c r="BE74" s="121" t="s">
        <v>38</v>
      </c>
      <c r="BF74" s="69" t="s">
        <v>19</v>
      </c>
    </row>
    <row r="75" spans="12:58" x14ac:dyDescent="0.25">
      <c r="L75" s="121" t="s">
        <v>176</v>
      </c>
      <c r="M75" s="69" t="s">
        <v>19</v>
      </c>
      <c r="N75" s="69" t="str">
        <f>VLOOKUP($L$4,'[1]POS_EAD_0112 a 3101_CAMP. REG)'!$F$5:$G$231,2,FALSE)</f>
        <v>Humanas</v>
      </c>
      <c r="O75" s="69">
        <f>VLOOKUP(L75,'[1]POS_EAD_0112 a 3101_CAMP. REG)'!$F$5:$H$231,3,FALSE)</f>
        <v>6</v>
      </c>
      <c r="P75" s="68">
        <f>VLOOKUP(L75,'[1]POS_EAD_0112 a 3101_CAMP. REG)'!$F$5:$I$231,4,FALSE)</f>
        <v>13</v>
      </c>
      <c r="Q75" s="73">
        <f>VLOOKUP(L75,'[1]POS_EAD_0112 a 3101_CAMP. REG)'!$F$5:$J$231,5,FALSE)</f>
        <v>405.70905000000005</v>
      </c>
      <c r="R75" s="124">
        <f>VLOOKUP(L75,'[1]POS_EAD_0112 a 3101_CAMP. REG)'!$F$5:$L$231,7,FALSE)</f>
        <v>0.45</v>
      </c>
      <c r="S75" s="73">
        <f>VLOOKUP(L75,'[1]POS_EAD_0112 a 3101_CAMP. REG)'!$F$5:$M$231,8,FALSE)</f>
        <v>200.83</v>
      </c>
      <c r="T75" s="124">
        <f>VLOOKUP(L75,'[1]POS_EAD_0112 a 3101_CAMP. REG)'!$F$5:$P$231,11,FALSE)</f>
        <v>0.5</v>
      </c>
      <c r="U75" s="73">
        <f>VLOOKUP(L75,'[1]POS_EAD_0112 a 3101_CAMP. REG)'!$F$5:$Q$231,12,FALSE)</f>
        <v>182.57</v>
      </c>
      <c r="W75" s="121" t="s">
        <v>176</v>
      </c>
      <c r="X75" s="69" t="s">
        <v>19</v>
      </c>
      <c r="Y75" s="69" t="str">
        <f>VLOOKUP(W75,'[1]POS_EAD_0112 a 3101_CAMP. REG)'!$F$231:$G$461,2,FALSE)</f>
        <v>Saúde</v>
      </c>
      <c r="Z75" s="68">
        <f>VLOOKUP(W75,'[1]POS_EAD_0112 a 3101_CAMP. REG)'!$F$231:$H$461,3,FALSE)</f>
        <v>6</v>
      </c>
      <c r="AA75" s="68">
        <f>VLOOKUP(W75,'[1]POS_EAD_0112 a 3101_CAMP. REG)'!$F$231:$I$461,4,FALSE)</f>
        <v>13</v>
      </c>
      <c r="AB75" s="73">
        <f>VLOOKUP(W75,'[1]POS_EAD_0112 a 3101_CAMP. REG)'!$F$231:$J$461,5,FALSE)</f>
        <v>439.79280900000003</v>
      </c>
      <c r="AC75" s="72">
        <f>VLOOKUP(W75,'[1]POS_EAD_0112 a 3101_CAMP. REG)'!$F$231:$L$461,7,FALSE)</f>
        <v>0.45</v>
      </c>
      <c r="AD75" s="73">
        <f>VLOOKUP(W75,'[1]POS_EAD_0112 a 3101_CAMP. REG)'!$F$231:$M$461,8,FALSE)</f>
        <v>217.7</v>
      </c>
      <c r="AE75" s="72">
        <f>VLOOKUP(W75,'[1]POS_EAD_0112 a 3101_CAMP. REG)'!$F$231:$P$461,11,FALSE)</f>
        <v>0.5</v>
      </c>
      <c r="AF75" s="73">
        <f>VLOOKUP(W75,'[1]POS_EAD_0112 a 3101_CAMP. REG)'!$F$231:$Q$461,12,FALSE)</f>
        <v>197.91</v>
      </c>
      <c r="AH75" s="121" t="s">
        <v>176</v>
      </c>
      <c r="AI75" s="69" t="s">
        <v>19</v>
      </c>
      <c r="AJ75" s="68" t="str">
        <f>VLOOKUP(UNG[[#This Row],[CURSO]],'[1]POS_EAD_0112 a 3101_CAMP. REG)'!$F$463:$G$688,2,FALSE)</f>
        <v>Saúde</v>
      </c>
      <c r="AK75" s="68">
        <f>VLOOKUP(UNG[[#This Row],[CURSO]],'[1]POS_EAD_0112 a 3101_CAMP. REG)'!$F$463:$H$688,3,FALSE)</f>
        <v>6</v>
      </c>
      <c r="AL75" s="68">
        <f>VLOOKUP(UNG[[#This Row],[CURSO]],'[1]POS_EAD_0112 a 3101_CAMP. REG)'!$F$463:$I$688,4,FALSE)</f>
        <v>13</v>
      </c>
      <c r="AM75" s="71">
        <f>VLOOKUP(UNG[[#This Row],[CURSO]],'[1]POS_EAD_0112 a 3101_CAMP. REG)'!$F$463:$J$688,5,FALSE)</f>
        <v>405.70905000000005</v>
      </c>
      <c r="AN75" s="124">
        <f>VLOOKUP(UNG[[#This Row],[CURSO]],'[1]POS_EAD_0112 a 3101_CAMP. REG)'!$F$463:$L$688,7,FALSE)</f>
        <v>0.45</v>
      </c>
      <c r="AO75" s="71">
        <f>VLOOKUP(UNG[[#This Row],[CURSO]],'[1]POS_EAD_0112 a 3101_CAMP. REG)'!$F$463:$M$688,8,FALSE)</f>
        <v>200.83</v>
      </c>
      <c r="AP75" s="124">
        <f>VLOOKUP(UNG[[#This Row],[CURSO]],'[1]POS_EAD_0112 a 3101_CAMP. REG)'!$F$463:$P$688,11,FALSE)</f>
        <v>0.5</v>
      </c>
      <c r="AQ75" s="71">
        <f>VLOOKUP(UNG[[#This Row],[CURSO]],'[1]POS_EAD_0112 a 3101_CAMP. REG)'!$F$463:$Q$688,12,FALSE)</f>
        <v>182.57</v>
      </c>
      <c r="AS75" s="121" t="s">
        <v>176</v>
      </c>
      <c r="AT75" s="69" t="s">
        <v>19</v>
      </c>
      <c r="AU75" s="69" t="str">
        <f>VLOOKUP(UNINASSAU[[#This Row],[CURSO]],'[1]POS_EAD_0112 a 3101_CAMP. REG)'!$F$690:$G$915,2,FALSE)</f>
        <v>Saúde</v>
      </c>
      <c r="AV75" s="69">
        <f>VLOOKUP(UNINASSAU[[#This Row],[CURSO]],'[1]POS_EAD_0112 a 3101_CAMP. REG)'!$F$690:$H$915,3,FALSE)</f>
        <v>6</v>
      </c>
      <c r="AW75" s="69">
        <f>VLOOKUP(UNINASSAU[[#This Row],[CURSO]],'[1]POS_EAD_0112 a 3101_CAMP. REG)'!$F$690:$I$915,4,FALSE)</f>
        <v>13</v>
      </c>
      <c r="AX75" s="73">
        <f>VLOOKUP(UNINASSAU[[#This Row],[CURSO]],'[1]POS_EAD_0112 a 3101_CAMP. REG)'!$F$690:$J$915,5,FALSE)</f>
        <v>405.70905000000005</v>
      </c>
      <c r="AY75" s="72">
        <f>VLOOKUP(UNINASSAU[[#This Row],[CURSO]],'[1]POS_EAD_0112 a 3101_CAMP. REG)'!$F$690:$L$915,7,FALSE)</f>
        <v>0.45</v>
      </c>
      <c r="AZ75" s="73">
        <f>VLOOKUP(UNINASSAU[[#This Row],[CURSO]],'[1]POS_EAD_0112 a 3101_CAMP. REG)'!$F$690:$N$915,8,FALSE)</f>
        <v>200.83</v>
      </c>
      <c r="BA75" s="72">
        <f>VLOOKUP(UNINASSAU[[#This Row],[CURSO]],'[1]POS_EAD_0112 a 3101_CAMP. REG)'!$F$690:$P$915,11,FALSE)</f>
        <v>0.5</v>
      </c>
      <c r="BB75" s="73">
        <f>VLOOKUP(UNINASSAU[[#This Row],[CURSO]],'[1]POS_EAD_0112 a 3101_CAMP. REG)'!$F$690:$Q$915,12,FALSE)</f>
        <v>182.57</v>
      </c>
      <c r="BD75" s="104">
        <v>72</v>
      </c>
      <c r="BE75" s="121" t="s">
        <v>176</v>
      </c>
      <c r="BF75" s="69" t="s">
        <v>19</v>
      </c>
    </row>
    <row r="76" spans="12:58" x14ac:dyDescent="0.25">
      <c r="L76" s="121" t="s">
        <v>43</v>
      </c>
      <c r="M76" s="69" t="s">
        <v>19</v>
      </c>
      <c r="N76" s="69" t="str">
        <f>VLOOKUP($L$4,'[1]POS_EAD_0112 a 3101_CAMP. REG)'!$F$5:$G$231,2,FALSE)</f>
        <v>Humanas</v>
      </c>
      <c r="O76" s="69">
        <f>VLOOKUP(L76,'[1]POS_EAD_0112 a 3101_CAMP. REG)'!$F$5:$H$231,3,FALSE)</f>
        <v>6</v>
      </c>
      <c r="P76" s="68">
        <f>VLOOKUP(L76,'[1]POS_EAD_0112 a 3101_CAMP. REG)'!$F$5:$I$231,4,FALSE)</f>
        <v>13</v>
      </c>
      <c r="Q76" s="73">
        <f>VLOOKUP(L76,'[1]POS_EAD_0112 a 3101_CAMP. REG)'!$F$5:$J$231,5,FALSE)</f>
        <v>405.70905000000005</v>
      </c>
      <c r="R76" s="124">
        <f>VLOOKUP(L76,'[1]POS_EAD_0112 a 3101_CAMP. REG)'!$F$5:$L$231,7,FALSE)</f>
        <v>0.45</v>
      </c>
      <c r="S76" s="73">
        <f>VLOOKUP(L76,'[1]POS_EAD_0112 a 3101_CAMP. REG)'!$F$5:$M$231,8,FALSE)</f>
        <v>200.83</v>
      </c>
      <c r="T76" s="124">
        <f>VLOOKUP(L76,'[1]POS_EAD_0112 a 3101_CAMP. REG)'!$F$5:$P$231,11,FALSE)</f>
        <v>0.5</v>
      </c>
      <c r="U76" s="73">
        <f>VLOOKUP(L76,'[1]POS_EAD_0112 a 3101_CAMP. REG)'!$F$5:$Q$231,12,FALSE)</f>
        <v>182.57</v>
      </c>
      <c r="W76" s="121" t="s">
        <v>43</v>
      </c>
      <c r="X76" s="69" t="s">
        <v>19</v>
      </c>
      <c r="Y76" s="69" t="str">
        <f>VLOOKUP(W76,'[1]POS_EAD_0112 a 3101_CAMP. REG)'!$F$231:$G$461,2,FALSE)</f>
        <v>Exatas</v>
      </c>
      <c r="Z76" s="68">
        <f>VLOOKUP(W76,'[1]POS_EAD_0112 a 3101_CAMP. REG)'!$F$231:$H$461,3,FALSE)</f>
        <v>6</v>
      </c>
      <c r="AA76" s="68">
        <f>VLOOKUP(W76,'[1]POS_EAD_0112 a 3101_CAMP. REG)'!$F$231:$I$461,4,FALSE)</f>
        <v>13</v>
      </c>
      <c r="AB76" s="73">
        <f>VLOOKUP(W76,'[1]POS_EAD_0112 a 3101_CAMP. REG)'!$F$231:$J$461,5,FALSE)</f>
        <v>439.79280900000003</v>
      </c>
      <c r="AC76" s="72">
        <f>VLOOKUP(W76,'[1]POS_EAD_0112 a 3101_CAMP. REG)'!$F$231:$L$461,7,FALSE)</f>
        <v>0.45</v>
      </c>
      <c r="AD76" s="73">
        <f>VLOOKUP(W76,'[1]POS_EAD_0112 a 3101_CAMP. REG)'!$F$231:$M$461,8,FALSE)</f>
        <v>217.7</v>
      </c>
      <c r="AE76" s="72">
        <f>VLOOKUP(W76,'[1]POS_EAD_0112 a 3101_CAMP. REG)'!$F$231:$P$461,11,FALSE)</f>
        <v>0.5</v>
      </c>
      <c r="AF76" s="73">
        <f>VLOOKUP(W76,'[1]POS_EAD_0112 a 3101_CAMP. REG)'!$F$231:$Q$461,12,FALSE)</f>
        <v>197.91</v>
      </c>
      <c r="AH76" s="121" t="s">
        <v>43</v>
      </c>
      <c r="AI76" s="69" t="s">
        <v>19</v>
      </c>
      <c r="AJ76" s="68" t="str">
        <f>VLOOKUP(UNG[[#This Row],[CURSO]],'[1]POS_EAD_0112 a 3101_CAMP. REG)'!$F$463:$G$688,2,FALSE)</f>
        <v>Exatas</v>
      </c>
      <c r="AK76" s="68">
        <f>VLOOKUP(UNG[[#This Row],[CURSO]],'[1]POS_EAD_0112 a 3101_CAMP. REG)'!$F$463:$H$688,3,FALSE)</f>
        <v>6</v>
      </c>
      <c r="AL76" s="68">
        <f>VLOOKUP(UNG[[#This Row],[CURSO]],'[1]POS_EAD_0112 a 3101_CAMP. REG)'!$F$463:$I$688,4,FALSE)</f>
        <v>13</v>
      </c>
      <c r="AM76" s="71">
        <f>VLOOKUP(UNG[[#This Row],[CURSO]],'[1]POS_EAD_0112 a 3101_CAMP. REG)'!$F$463:$J$688,5,FALSE)</f>
        <v>405.70905000000005</v>
      </c>
      <c r="AN76" s="124">
        <f>VLOOKUP(UNG[[#This Row],[CURSO]],'[1]POS_EAD_0112 a 3101_CAMP. REG)'!$F$463:$L$688,7,FALSE)</f>
        <v>0.45</v>
      </c>
      <c r="AO76" s="71">
        <f>VLOOKUP(UNG[[#This Row],[CURSO]],'[1]POS_EAD_0112 a 3101_CAMP. REG)'!$F$463:$M$688,8,FALSE)</f>
        <v>200.83</v>
      </c>
      <c r="AP76" s="124">
        <f>VLOOKUP(UNG[[#This Row],[CURSO]],'[1]POS_EAD_0112 a 3101_CAMP. REG)'!$F$463:$P$688,11,FALSE)</f>
        <v>0.5</v>
      </c>
      <c r="AQ76" s="71">
        <f>VLOOKUP(UNG[[#This Row],[CURSO]],'[1]POS_EAD_0112 a 3101_CAMP. REG)'!$F$463:$Q$688,12,FALSE)</f>
        <v>182.57</v>
      </c>
      <c r="AS76" s="121" t="s">
        <v>43</v>
      </c>
      <c r="AT76" s="69" t="s">
        <v>19</v>
      </c>
      <c r="AU76" s="69" t="str">
        <f>VLOOKUP(UNINASSAU[[#This Row],[CURSO]],'[1]POS_EAD_0112 a 3101_CAMP. REG)'!$F$690:$G$915,2,FALSE)</f>
        <v>Exatas</v>
      </c>
      <c r="AV76" s="69">
        <f>VLOOKUP(UNINASSAU[[#This Row],[CURSO]],'[1]POS_EAD_0112 a 3101_CAMP. REG)'!$F$690:$H$915,3,FALSE)</f>
        <v>6</v>
      </c>
      <c r="AW76" s="69">
        <f>VLOOKUP(UNINASSAU[[#This Row],[CURSO]],'[1]POS_EAD_0112 a 3101_CAMP. REG)'!$F$690:$I$915,4,FALSE)</f>
        <v>13</v>
      </c>
      <c r="AX76" s="73">
        <f>VLOOKUP(UNINASSAU[[#This Row],[CURSO]],'[1]POS_EAD_0112 a 3101_CAMP. REG)'!$F$690:$J$915,5,FALSE)</f>
        <v>405.70905000000005</v>
      </c>
      <c r="AY76" s="72">
        <f>VLOOKUP(UNINASSAU[[#This Row],[CURSO]],'[1]POS_EAD_0112 a 3101_CAMP. REG)'!$F$690:$L$915,7,FALSE)</f>
        <v>0.45</v>
      </c>
      <c r="AZ76" s="73">
        <f>VLOOKUP(UNINASSAU[[#This Row],[CURSO]],'[1]POS_EAD_0112 a 3101_CAMP. REG)'!$F$690:$N$915,8,FALSE)</f>
        <v>200.83</v>
      </c>
      <c r="BA76" s="72">
        <f>VLOOKUP(UNINASSAU[[#This Row],[CURSO]],'[1]POS_EAD_0112 a 3101_CAMP. REG)'!$F$690:$P$915,11,FALSE)</f>
        <v>0.5</v>
      </c>
      <c r="BB76" s="73">
        <f>VLOOKUP(UNINASSAU[[#This Row],[CURSO]],'[1]POS_EAD_0112 a 3101_CAMP. REG)'!$F$690:$Q$915,12,FALSE)</f>
        <v>182.57</v>
      </c>
      <c r="BD76" s="104">
        <v>73</v>
      </c>
      <c r="BE76" s="121" t="s">
        <v>43</v>
      </c>
      <c r="BF76" s="69" t="s">
        <v>19</v>
      </c>
    </row>
    <row r="77" spans="12:58" x14ac:dyDescent="0.25">
      <c r="L77" s="121" t="s">
        <v>134</v>
      </c>
      <c r="M77" s="69" t="s">
        <v>19</v>
      </c>
      <c r="N77" s="69" t="str">
        <f>VLOOKUP($L$4,'[1]POS_EAD_0112 a 3101_CAMP. REG)'!$F$5:$G$231,2,FALSE)</f>
        <v>Humanas</v>
      </c>
      <c r="O77" s="69">
        <f>VLOOKUP(L77,'[1]POS_EAD_0112 a 3101_CAMP. REG)'!$F$5:$H$231,3,FALSE)</f>
        <v>6</v>
      </c>
      <c r="P77" s="68">
        <f>VLOOKUP(L77,'[1]POS_EAD_0112 a 3101_CAMP. REG)'!$F$5:$I$231,4,FALSE)</f>
        <v>13</v>
      </c>
      <c r="Q77" s="73">
        <f>VLOOKUP(L77,'[1]POS_EAD_0112 a 3101_CAMP. REG)'!$F$5:$J$231,5,FALSE)</f>
        <v>405.70905000000005</v>
      </c>
      <c r="R77" s="124">
        <f>VLOOKUP(L77,'[1]POS_EAD_0112 a 3101_CAMP. REG)'!$F$5:$L$231,7,FALSE)</f>
        <v>0.45</v>
      </c>
      <c r="S77" s="73">
        <f>VLOOKUP(L77,'[1]POS_EAD_0112 a 3101_CAMP. REG)'!$F$5:$M$231,8,FALSE)</f>
        <v>200.83</v>
      </c>
      <c r="T77" s="124">
        <f>VLOOKUP(L77,'[1]POS_EAD_0112 a 3101_CAMP. REG)'!$F$5:$P$231,11,FALSE)</f>
        <v>0.5</v>
      </c>
      <c r="U77" s="73">
        <f>VLOOKUP(L77,'[1]POS_EAD_0112 a 3101_CAMP. REG)'!$F$5:$Q$231,12,FALSE)</f>
        <v>182.57</v>
      </c>
      <c r="W77" s="121" t="s">
        <v>134</v>
      </c>
      <c r="X77" s="69" t="s">
        <v>19</v>
      </c>
      <c r="Y77" s="69" t="str">
        <f>VLOOKUP(W77,'[1]POS_EAD_0112 a 3101_CAMP. REG)'!$F$231:$G$461,2,FALSE)</f>
        <v>Exatas</v>
      </c>
      <c r="Z77" s="68">
        <f>VLOOKUP(W77,'[1]POS_EAD_0112 a 3101_CAMP. REG)'!$F$231:$H$461,3,FALSE)</f>
        <v>6</v>
      </c>
      <c r="AA77" s="68">
        <f>VLOOKUP(W77,'[1]POS_EAD_0112 a 3101_CAMP. REG)'!$F$231:$I$461,4,FALSE)</f>
        <v>13</v>
      </c>
      <c r="AB77" s="73">
        <f>VLOOKUP(W77,'[1]POS_EAD_0112 a 3101_CAMP. REG)'!$F$231:$J$461,5,FALSE)</f>
        <v>439.79280900000003</v>
      </c>
      <c r="AC77" s="72">
        <f>VLOOKUP(W77,'[1]POS_EAD_0112 a 3101_CAMP. REG)'!$F$231:$L$461,7,FALSE)</f>
        <v>0.45</v>
      </c>
      <c r="AD77" s="73">
        <f>VLOOKUP(W77,'[1]POS_EAD_0112 a 3101_CAMP. REG)'!$F$231:$M$461,8,FALSE)</f>
        <v>217.7</v>
      </c>
      <c r="AE77" s="72">
        <f>VLOOKUP(W77,'[1]POS_EAD_0112 a 3101_CAMP. REG)'!$F$231:$P$461,11,FALSE)</f>
        <v>0.5</v>
      </c>
      <c r="AF77" s="73">
        <f>VLOOKUP(W77,'[1]POS_EAD_0112 a 3101_CAMP. REG)'!$F$231:$Q$461,12,FALSE)</f>
        <v>197.91</v>
      </c>
      <c r="AH77" s="121" t="s">
        <v>134</v>
      </c>
      <c r="AI77" s="69" t="s">
        <v>19</v>
      </c>
      <c r="AJ77" s="68" t="str">
        <f>VLOOKUP(UNG[[#This Row],[CURSO]],'[1]POS_EAD_0112 a 3101_CAMP. REG)'!$F$463:$G$688,2,FALSE)</f>
        <v>Exatas</v>
      </c>
      <c r="AK77" s="68">
        <f>VLOOKUP(UNG[[#This Row],[CURSO]],'[1]POS_EAD_0112 a 3101_CAMP. REG)'!$F$463:$H$688,3,FALSE)</f>
        <v>6</v>
      </c>
      <c r="AL77" s="68">
        <f>VLOOKUP(UNG[[#This Row],[CURSO]],'[1]POS_EAD_0112 a 3101_CAMP. REG)'!$F$463:$I$688,4,FALSE)</f>
        <v>13</v>
      </c>
      <c r="AM77" s="71">
        <f>VLOOKUP(UNG[[#This Row],[CURSO]],'[1]POS_EAD_0112 a 3101_CAMP. REG)'!$F$463:$J$688,5,FALSE)</f>
        <v>405.70905000000005</v>
      </c>
      <c r="AN77" s="124">
        <f>VLOOKUP(UNG[[#This Row],[CURSO]],'[1]POS_EAD_0112 a 3101_CAMP. REG)'!$F$463:$L$688,7,FALSE)</f>
        <v>0.45</v>
      </c>
      <c r="AO77" s="71">
        <f>VLOOKUP(UNG[[#This Row],[CURSO]],'[1]POS_EAD_0112 a 3101_CAMP. REG)'!$F$463:$M$688,8,FALSE)</f>
        <v>200.83</v>
      </c>
      <c r="AP77" s="124">
        <f>VLOOKUP(UNG[[#This Row],[CURSO]],'[1]POS_EAD_0112 a 3101_CAMP. REG)'!$F$463:$P$688,11,FALSE)</f>
        <v>0.5</v>
      </c>
      <c r="AQ77" s="71">
        <f>VLOOKUP(UNG[[#This Row],[CURSO]],'[1]POS_EAD_0112 a 3101_CAMP. REG)'!$F$463:$Q$688,12,FALSE)</f>
        <v>182.57</v>
      </c>
      <c r="AS77" s="121" t="s">
        <v>134</v>
      </c>
      <c r="AT77" s="69" t="s">
        <v>19</v>
      </c>
      <c r="AU77" s="69" t="str">
        <f>VLOOKUP(UNINASSAU[[#This Row],[CURSO]],'[1]POS_EAD_0112 a 3101_CAMP. REG)'!$F$690:$G$915,2,FALSE)</f>
        <v>Exatas</v>
      </c>
      <c r="AV77" s="69">
        <f>VLOOKUP(UNINASSAU[[#This Row],[CURSO]],'[1]POS_EAD_0112 a 3101_CAMP. REG)'!$F$690:$H$915,3,FALSE)</f>
        <v>6</v>
      </c>
      <c r="AW77" s="69">
        <f>VLOOKUP(UNINASSAU[[#This Row],[CURSO]],'[1]POS_EAD_0112 a 3101_CAMP. REG)'!$F$690:$I$915,4,FALSE)</f>
        <v>13</v>
      </c>
      <c r="AX77" s="73">
        <f>VLOOKUP(UNINASSAU[[#This Row],[CURSO]],'[1]POS_EAD_0112 a 3101_CAMP. REG)'!$F$690:$J$915,5,FALSE)</f>
        <v>405.70905000000005</v>
      </c>
      <c r="AY77" s="72">
        <f>VLOOKUP(UNINASSAU[[#This Row],[CURSO]],'[1]POS_EAD_0112 a 3101_CAMP. REG)'!$F$690:$L$915,7,FALSE)</f>
        <v>0.45</v>
      </c>
      <c r="AZ77" s="73">
        <f>VLOOKUP(UNINASSAU[[#This Row],[CURSO]],'[1]POS_EAD_0112 a 3101_CAMP. REG)'!$F$690:$N$915,8,FALSE)</f>
        <v>200.83</v>
      </c>
      <c r="BA77" s="72">
        <f>VLOOKUP(UNINASSAU[[#This Row],[CURSO]],'[1]POS_EAD_0112 a 3101_CAMP. REG)'!$F$690:$P$915,11,FALSE)</f>
        <v>0.5</v>
      </c>
      <c r="BB77" s="73">
        <f>VLOOKUP(UNINASSAU[[#This Row],[CURSO]],'[1]POS_EAD_0112 a 3101_CAMP. REG)'!$F$690:$Q$915,12,FALSE)</f>
        <v>182.57</v>
      </c>
      <c r="BD77" s="104">
        <v>74</v>
      </c>
      <c r="BE77" s="121" t="s">
        <v>134</v>
      </c>
      <c r="BF77" s="69" t="s">
        <v>19</v>
      </c>
    </row>
    <row r="78" spans="12:58" x14ac:dyDescent="0.25">
      <c r="L78" s="121" t="s">
        <v>194</v>
      </c>
      <c r="M78" s="69" t="s">
        <v>19</v>
      </c>
      <c r="N78" s="69" t="str">
        <f>VLOOKUP($L$4,'[1]POS_EAD_0112 a 3101_CAMP. REG)'!$F$5:$G$231,2,FALSE)</f>
        <v>Humanas</v>
      </c>
      <c r="O78" s="69">
        <f>VLOOKUP(L78,'[1]POS_EAD_0112 a 3101_CAMP. REG)'!$F$5:$H$231,3,FALSE)</f>
        <v>6</v>
      </c>
      <c r="P78" s="68">
        <f>VLOOKUP(L78,'[1]POS_EAD_0112 a 3101_CAMP. REG)'!$F$5:$I$231,4,FALSE)</f>
        <v>13</v>
      </c>
      <c r="Q78" s="73">
        <f>VLOOKUP(L78,'[1]POS_EAD_0112 a 3101_CAMP. REG)'!$F$5:$J$231,5,FALSE)</f>
        <v>405.70905000000005</v>
      </c>
      <c r="R78" s="124">
        <f>VLOOKUP(L78,'[1]POS_EAD_0112 a 3101_CAMP. REG)'!$F$5:$L$231,7,FALSE)</f>
        <v>0.45</v>
      </c>
      <c r="S78" s="73">
        <f>VLOOKUP(L78,'[1]POS_EAD_0112 a 3101_CAMP. REG)'!$F$5:$M$231,8,FALSE)</f>
        <v>200.83</v>
      </c>
      <c r="T78" s="124">
        <f>VLOOKUP(L78,'[1]POS_EAD_0112 a 3101_CAMP. REG)'!$F$5:$P$231,11,FALSE)</f>
        <v>0.5</v>
      </c>
      <c r="U78" s="73">
        <f>VLOOKUP(L78,'[1]POS_EAD_0112 a 3101_CAMP. REG)'!$F$5:$Q$231,12,FALSE)</f>
        <v>182.57</v>
      </c>
      <c r="W78" s="121" t="s">
        <v>194</v>
      </c>
      <c r="X78" s="69" t="s">
        <v>19</v>
      </c>
      <c r="Y78" s="69" t="str">
        <f>VLOOKUP(W78,'[1]POS_EAD_0112 a 3101_CAMP. REG)'!$F$231:$G$461,2,FALSE)</f>
        <v>Exatas</v>
      </c>
      <c r="Z78" s="68">
        <f>VLOOKUP(W78,'[1]POS_EAD_0112 a 3101_CAMP. REG)'!$F$231:$H$461,3,FALSE)</f>
        <v>6</v>
      </c>
      <c r="AA78" s="68">
        <f>VLOOKUP(W78,'[1]POS_EAD_0112 a 3101_CAMP. REG)'!$F$231:$I$461,4,FALSE)</f>
        <v>13</v>
      </c>
      <c r="AB78" s="73">
        <f>VLOOKUP(W78,'[1]POS_EAD_0112 a 3101_CAMP. REG)'!$F$231:$J$461,5,FALSE)</f>
        <v>439.79280900000003</v>
      </c>
      <c r="AC78" s="72">
        <f>VLOOKUP(W78,'[1]POS_EAD_0112 a 3101_CAMP. REG)'!$F$231:$L$461,7,FALSE)</f>
        <v>0.45</v>
      </c>
      <c r="AD78" s="73">
        <f>VLOOKUP(W78,'[1]POS_EAD_0112 a 3101_CAMP. REG)'!$F$231:$M$461,8,FALSE)</f>
        <v>217.7</v>
      </c>
      <c r="AE78" s="72">
        <f>VLOOKUP(W78,'[1]POS_EAD_0112 a 3101_CAMP. REG)'!$F$231:$P$461,11,FALSE)</f>
        <v>0.5</v>
      </c>
      <c r="AF78" s="73">
        <f>VLOOKUP(W78,'[1]POS_EAD_0112 a 3101_CAMP. REG)'!$F$231:$Q$461,12,FALSE)</f>
        <v>197.91</v>
      </c>
      <c r="AH78" s="121" t="s">
        <v>194</v>
      </c>
      <c r="AI78" s="69" t="s">
        <v>19</v>
      </c>
      <c r="AJ78" s="68" t="str">
        <f>VLOOKUP(UNG[[#This Row],[CURSO]],'[1]POS_EAD_0112 a 3101_CAMP. REG)'!$F$463:$G$688,2,FALSE)</f>
        <v>Exatas</v>
      </c>
      <c r="AK78" s="68">
        <f>VLOOKUP(UNG[[#This Row],[CURSO]],'[1]POS_EAD_0112 a 3101_CAMP. REG)'!$F$463:$H$688,3,FALSE)</f>
        <v>6</v>
      </c>
      <c r="AL78" s="68">
        <f>VLOOKUP(UNG[[#This Row],[CURSO]],'[1]POS_EAD_0112 a 3101_CAMP. REG)'!$F$463:$I$688,4,FALSE)</f>
        <v>13</v>
      </c>
      <c r="AM78" s="71">
        <f>VLOOKUP(UNG[[#This Row],[CURSO]],'[1]POS_EAD_0112 a 3101_CAMP. REG)'!$F$463:$J$688,5,FALSE)</f>
        <v>405.70905000000005</v>
      </c>
      <c r="AN78" s="124">
        <f>VLOOKUP(UNG[[#This Row],[CURSO]],'[1]POS_EAD_0112 a 3101_CAMP. REG)'!$F$463:$L$688,7,FALSE)</f>
        <v>0.45</v>
      </c>
      <c r="AO78" s="71">
        <f>VLOOKUP(UNG[[#This Row],[CURSO]],'[1]POS_EAD_0112 a 3101_CAMP. REG)'!$F$463:$M$688,8,FALSE)</f>
        <v>200.83</v>
      </c>
      <c r="AP78" s="124">
        <f>VLOOKUP(UNG[[#This Row],[CURSO]],'[1]POS_EAD_0112 a 3101_CAMP. REG)'!$F$463:$P$688,11,FALSE)</f>
        <v>0.5</v>
      </c>
      <c r="AQ78" s="71">
        <f>VLOOKUP(UNG[[#This Row],[CURSO]],'[1]POS_EAD_0112 a 3101_CAMP. REG)'!$F$463:$Q$688,12,FALSE)</f>
        <v>182.57</v>
      </c>
      <c r="AS78" s="121" t="s">
        <v>194</v>
      </c>
      <c r="AT78" s="69" t="s">
        <v>19</v>
      </c>
      <c r="AU78" s="69" t="str">
        <f>VLOOKUP(UNINASSAU[[#This Row],[CURSO]],'[1]POS_EAD_0112 a 3101_CAMP. REG)'!$F$690:$G$915,2,FALSE)</f>
        <v>Exatas</v>
      </c>
      <c r="AV78" s="69">
        <f>VLOOKUP(UNINASSAU[[#This Row],[CURSO]],'[1]POS_EAD_0112 a 3101_CAMP. REG)'!$F$690:$H$915,3,FALSE)</f>
        <v>6</v>
      </c>
      <c r="AW78" s="69">
        <f>VLOOKUP(UNINASSAU[[#This Row],[CURSO]],'[1]POS_EAD_0112 a 3101_CAMP. REG)'!$F$690:$I$915,4,FALSE)</f>
        <v>13</v>
      </c>
      <c r="AX78" s="73">
        <f>VLOOKUP(UNINASSAU[[#This Row],[CURSO]],'[1]POS_EAD_0112 a 3101_CAMP. REG)'!$F$690:$J$915,5,FALSE)</f>
        <v>405.70905000000005</v>
      </c>
      <c r="AY78" s="72">
        <f>VLOOKUP(UNINASSAU[[#This Row],[CURSO]],'[1]POS_EAD_0112 a 3101_CAMP. REG)'!$F$690:$L$915,7,FALSE)</f>
        <v>0.45</v>
      </c>
      <c r="AZ78" s="73">
        <f>VLOOKUP(UNINASSAU[[#This Row],[CURSO]],'[1]POS_EAD_0112 a 3101_CAMP. REG)'!$F$690:$N$915,8,FALSE)</f>
        <v>200.83</v>
      </c>
      <c r="BA78" s="72">
        <f>VLOOKUP(UNINASSAU[[#This Row],[CURSO]],'[1]POS_EAD_0112 a 3101_CAMP. REG)'!$F$690:$P$915,11,FALSE)</f>
        <v>0.5</v>
      </c>
      <c r="BB78" s="73">
        <f>VLOOKUP(UNINASSAU[[#This Row],[CURSO]],'[1]POS_EAD_0112 a 3101_CAMP. REG)'!$F$690:$Q$915,12,FALSE)</f>
        <v>182.57</v>
      </c>
      <c r="BD78" s="104">
        <v>75</v>
      </c>
      <c r="BE78" s="121" t="s">
        <v>194</v>
      </c>
      <c r="BF78" s="69" t="s">
        <v>19</v>
      </c>
    </row>
    <row r="79" spans="12:58" x14ac:dyDescent="0.25">
      <c r="L79" s="121" t="s">
        <v>201</v>
      </c>
      <c r="M79" s="69" t="s">
        <v>19</v>
      </c>
      <c r="N79" s="69" t="str">
        <f>VLOOKUP($L$4,'[1]POS_EAD_0112 a 3101_CAMP. REG)'!$F$5:$G$231,2,FALSE)</f>
        <v>Humanas</v>
      </c>
      <c r="O79" s="69">
        <f>VLOOKUP(L79,'[1]POS_EAD_0112 a 3101_CAMP. REG)'!$F$5:$H$231,3,FALSE)</f>
        <v>6</v>
      </c>
      <c r="P79" s="68">
        <f>VLOOKUP(L79,'[1]POS_EAD_0112 a 3101_CAMP. REG)'!$F$5:$I$231,4,FALSE)</f>
        <v>13</v>
      </c>
      <c r="Q79" s="73">
        <f>VLOOKUP(L79,'[1]POS_EAD_0112 a 3101_CAMP. REG)'!$F$5:$J$231,5,FALSE)</f>
        <v>405.70905000000005</v>
      </c>
      <c r="R79" s="124">
        <f>VLOOKUP(L79,'[1]POS_EAD_0112 a 3101_CAMP. REG)'!$F$5:$L$231,7,FALSE)</f>
        <v>0.45</v>
      </c>
      <c r="S79" s="73">
        <f>VLOOKUP(L79,'[1]POS_EAD_0112 a 3101_CAMP. REG)'!$F$5:$M$231,8,FALSE)</f>
        <v>200.83</v>
      </c>
      <c r="T79" s="124">
        <f>VLOOKUP(L79,'[1]POS_EAD_0112 a 3101_CAMP. REG)'!$F$5:$P$231,11,FALSE)</f>
        <v>0.5</v>
      </c>
      <c r="U79" s="73">
        <f>VLOOKUP(L79,'[1]POS_EAD_0112 a 3101_CAMP. REG)'!$F$5:$Q$231,12,FALSE)</f>
        <v>182.57</v>
      </c>
      <c r="W79" s="121" t="s">
        <v>201</v>
      </c>
      <c r="X79" s="69" t="s">
        <v>19</v>
      </c>
      <c r="Y79" s="69" t="str">
        <f>VLOOKUP(W79,'[1]POS_EAD_0112 a 3101_CAMP. REG)'!$F$231:$G$461,2,FALSE)</f>
        <v>Exatas</v>
      </c>
      <c r="Z79" s="68">
        <f>VLOOKUP(W79,'[1]POS_EAD_0112 a 3101_CAMP. REG)'!$F$231:$H$461,3,FALSE)</f>
        <v>6</v>
      </c>
      <c r="AA79" s="68">
        <f>VLOOKUP(W79,'[1]POS_EAD_0112 a 3101_CAMP. REG)'!$F$231:$I$461,4,FALSE)</f>
        <v>13</v>
      </c>
      <c r="AB79" s="73">
        <f>VLOOKUP(W79,'[1]POS_EAD_0112 a 3101_CAMP. REG)'!$F$231:$J$461,5,FALSE)</f>
        <v>439.79280900000003</v>
      </c>
      <c r="AC79" s="72">
        <f>VLOOKUP(W79,'[1]POS_EAD_0112 a 3101_CAMP. REG)'!$F$231:$L$461,7,FALSE)</f>
        <v>0.45</v>
      </c>
      <c r="AD79" s="73">
        <f>VLOOKUP(W79,'[1]POS_EAD_0112 a 3101_CAMP. REG)'!$F$231:$M$461,8,FALSE)</f>
        <v>217.7</v>
      </c>
      <c r="AE79" s="72">
        <f>VLOOKUP(W79,'[1]POS_EAD_0112 a 3101_CAMP. REG)'!$F$231:$P$461,11,FALSE)</f>
        <v>0.5</v>
      </c>
      <c r="AF79" s="73">
        <f>VLOOKUP(W79,'[1]POS_EAD_0112 a 3101_CAMP. REG)'!$F$231:$Q$461,12,FALSE)</f>
        <v>197.91</v>
      </c>
      <c r="AH79" s="121" t="s">
        <v>201</v>
      </c>
      <c r="AI79" s="69" t="s">
        <v>19</v>
      </c>
      <c r="AJ79" s="68" t="str">
        <f>VLOOKUP(UNG[[#This Row],[CURSO]],'[1]POS_EAD_0112 a 3101_CAMP. REG)'!$F$463:$G$688,2,FALSE)</f>
        <v>Exatas</v>
      </c>
      <c r="AK79" s="68">
        <f>VLOOKUP(UNG[[#This Row],[CURSO]],'[1]POS_EAD_0112 a 3101_CAMP. REG)'!$F$463:$H$688,3,FALSE)</f>
        <v>6</v>
      </c>
      <c r="AL79" s="68">
        <f>VLOOKUP(UNG[[#This Row],[CURSO]],'[1]POS_EAD_0112 a 3101_CAMP. REG)'!$F$463:$I$688,4,FALSE)</f>
        <v>13</v>
      </c>
      <c r="AM79" s="71">
        <f>VLOOKUP(UNG[[#This Row],[CURSO]],'[1]POS_EAD_0112 a 3101_CAMP. REG)'!$F$463:$J$688,5,FALSE)</f>
        <v>405.70905000000005</v>
      </c>
      <c r="AN79" s="124">
        <f>VLOOKUP(UNG[[#This Row],[CURSO]],'[1]POS_EAD_0112 a 3101_CAMP. REG)'!$F$463:$L$688,7,FALSE)</f>
        <v>0.45</v>
      </c>
      <c r="AO79" s="71">
        <f>VLOOKUP(UNG[[#This Row],[CURSO]],'[1]POS_EAD_0112 a 3101_CAMP. REG)'!$F$463:$M$688,8,FALSE)</f>
        <v>200.83</v>
      </c>
      <c r="AP79" s="124">
        <f>VLOOKUP(UNG[[#This Row],[CURSO]],'[1]POS_EAD_0112 a 3101_CAMP. REG)'!$F$463:$P$688,11,FALSE)</f>
        <v>0.5</v>
      </c>
      <c r="AQ79" s="71">
        <f>VLOOKUP(UNG[[#This Row],[CURSO]],'[1]POS_EAD_0112 a 3101_CAMP. REG)'!$F$463:$Q$688,12,FALSE)</f>
        <v>182.57</v>
      </c>
      <c r="AS79" s="121" t="s">
        <v>201</v>
      </c>
      <c r="AT79" s="69" t="s">
        <v>19</v>
      </c>
      <c r="AU79" s="69" t="str">
        <f>VLOOKUP(UNINASSAU[[#This Row],[CURSO]],'[1]POS_EAD_0112 a 3101_CAMP. REG)'!$F$690:$G$915,2,FALSE)</f>
        <v>Exatas</v>
      </c>
      <c r="AV79" s="69">
        <f>VLOOKUP(UNINASSAU[[#This Row],[CURSO]],'[1]POS_EAD_0112 a 3101_CAMP. REG)'!$F$690:$H$915,3,FALSE)</f>
        <v>6</v>
      </c>
      <c r="AW79" s="69">
        <f>VLOOKUP(UNINASSAU[[#This Row],[CURSO]],'[1]POS_EAD_0112 a 3101_CAMP. REG)'!$F$690:$I$915,4,FALSE)</f>
        <v>13</v>
      </c>
      <c r="AX79" s="73">
        <f>VLOOKUP(UNINASSAU[[#This Row],[CURSO]],'[1]POS_EAD_0112 a 3101_CAMP. REG)'!$F$690:$J$915,5,FALSE)</f>
        <v>405.70905000000005</v>
      </c>
      <c r="AY79" s="72">
        <f>VLOOKUP(UNINASSAU[[#This Row],[CURSO]],'[1]POS_EAD_0112 a 3101_CAMP. REG)'!$F$690:$L$915,7,FALSE)</f>
        <v>0.45</v>
      </c>
      <c r="AZ79" s="73">
        <f>VLOOKUP(UNINASSAU[[#This Row],[CURSO]],'[1]POS_EAD_0112 a 3101_CAMP. REG)'!$F$690:$N$915,8,FALSE)</f>
        <v>200.83</v>
      </c>
      <c r="BA79" s="72">
        <f>VLOOKUP(UNINASSAU[[#This Row],[CURSO]],'[1]POS_EAD_0112 a 3101_CAMP. REG)'!$F$690:$P$915,11,FALSE)</f>
        <v>0.5</v>
      </c>
      <c r="BB79" s="73">
        <f>VLOOKUP(UNINASSAU[[#This Row],[CURSO]],'[1]POS_EAD_0112 a 3101_CAMP. REG)'!$F$690:$Q$915,12,FALSE)</f>
        <v>182.57</v>
      </c>
      <c r="BD79" s="104">
        <v>76</v>
      </c>
      <c r="BE79" s="121" t="s">
        <v>201</v>
      </c>
      <c r="BF79" s="69" t="s">
        <v>19</v>
      </c>
    </row>
    <row r="80" spans="12:58" x14ac:dyDescent="0.25">
      <c r="L80" s="121" t="s">
        <v>215</v>
      </c>
      <c r="M80" s="69" t="s">
        <v>19</v>
      </c>
      <c r="N80" s="69" t="str">
        <f>VLOOKUP($L$4,'[1]POS_EAD_0112 a 3101_CAMP. REG)'!$F$5:$G$231,2,FALSE)</f>
        <v>Humanas</v>
      </c>
      <c r="O80" s="69">
        <f>VLOOKUP(L80,'[1]POS_EAD_0112 a 3101_CAMP. REG)'!$F$5:$H$231,3,FALSE)</f>
        <v>6</v>
      </c>
      <c r="P80" s="68">
        <f>VLOOKUP(L80,'[1]POS_EAD_0112 a 3101_CAMP. REG)'!$F$5:$I$231,4,FALSE)</f>
        <v>13</v>
      </c>
      <c r="Q80" s="73">
        <f>VLOOKUP(L80,'[1]POS_EAD_0112 a 3101_CAMP. REG)'!$F$5:$J$231,5,FALSE)</f>
        <v>405.70905000000005</v>
      </c>
      <c r="R80" s="124">
        <f>VLOOKUP(L80,'[1]POS_EAD_0112 a 3101_CAMP. REG)'!$F$5:$L$231,7,FALSE)</f>
        <v>0.45</v>
      </c>
      <c r="S80" s="73">
        <f>VLOOKUP(L80,'[1]POS_EAD_0112 a 3101_CAMP. REG)'!$F$5:$M$231,8,FALSE)</f>
        <v>200.83</v>
      </c>
      <c r="T80" s="124">
        <f>VLOOKUP(L80,'[1]POS_EAD_0112 a 3101_CAMP. REG)'!$F$5:$P$231,11,FALSE)</f>
        <v>0.5</v>
      </c>
      <c r="U80" s="73">
        <f>VLOOKUP(L80,'[1]POS_EAD_0112 a 3101_CAMP. REG)'!$F$5:$Q$231,12,FALSE)</f>
        <v>182.57</v>
      </c>
      <c r="W80" s="121" t="s">
        <v>215</v>
      </c>
      <c r="X80" s="69" t="s">
        <v>19</v>
      </c>
      <c r="Y80" s="69" t="str">
        <f>VLOOKUP(W80,'[1]POS_EAD_0112 a 3101_CAMP. REG)'!$F$231:$G$461,2,FALSE)</f>
        <v>Exatas</v>
      </c>
      <c r="Z80" s="68">
        <f>VLOOKUP(W80,'[1]POS_EAD_0112 a 3101_CAMP. REG)'!$F$231:$H$461,3,FALSE)</f>
        <v>6</v>
      </c>
      <c r="AA80" s="68">
        <f>VLOOKUP(W80,'[1]POS_EAD_0112 a 3101_CAMP. REG)'!$F$231:$I$461,4,FALSE)</f>
        <v>13</v>
      </c>
      <c r="AB80" s="73">
        <f>VLOOKUP(W80,'[1]POS_EAD_0112 a 3101_CAMP. REG)'!$F$231:$J$461,5,FALSE)</f>
        <v>439.79280900000003</v>
      </c>
      <c r="AC80" s="72">
        <f>VLOOKUP(W80,'[1]POS_EAD_0112 a 3101_CAMP. REG)'!$F$231:$L$461,7,FALSE)</f>
        <v>0.45</v>
      </c>
      <c r="AD80" s="73">
        <f>VLOOKUP(W80,'[1]POS_EAD_0112 a 3101_CAMP. REG)'!$F$231:$M$461,8,FALSE)</f>
        <v>217.7</v>
      </c>
      <c r="AE80" s="72">
        <f>VLOOKUP(W80,'[1]POS_EAD_0112 a 3101_CAMP. REG)'!$F$231:$P$461,11,FALSE)</f>
        <v>0.5</v>
      </c>
      <c r="AF80" s="73">
        <f>VLOOKUP(W80,'[1]POS_EAD_0112 a 3101_CAMP. REG)'!$F$231:$Q$461,12,FALSE)</f>
        <v>197.91</v>
      </c>
      <c r="AH80" s="121" t="s">
        <v>215</v>
      </c>
      <c r="AI80" s="69" t="s">
        <v>19</v>
      </c>
      <c r="AJ80" s="68" t="str">
        <f>VLOOKUP(UNG[[#This Row],[CURSO]],'[1]POS_EAD_0112 a 3101_CAMP. REG)'!$F$463:$G$688,2,FALSE)</f>
        <v>Exatas</v>
      </c>
      <c r="AK80" s="68">
        <f>VLOOKUP(UNG[[#This Row],[CURSO]],'[1]POS_EAD_0112 a 3101_CAMP. REG)'!$F$463:$H$688,3,FALSE)</f>
        <v>6</v>
      </c>
      <c r="AL80" s="68">
        <f>VLOOKUP(UNG[[#This Row],[CURSO]],'[1]POS_EAD_0112 a 3101_CAMP. REG)'!$F$463:$I$688,4,FALSE)</f>
        <v>13</v>
      </c>
      <c r="AM80" s="71">
        <f>VLOOKUP(UNG[[#This Row],[CURSO]],'[1]POS_EAD_0112 a 3101_CAMP. REG)'!$F$463:$J$688,5,FALSE)</f>
        <v>405.70905000000005</v>
      </c>
      <c r="AN80" s="124">
        <f>VLOOKUP(UNG[[#This Row],[CURSO]],'[1]POS_EAD_0112 a 3101_CAMP. REG)'!$F$463:$L$688,7,FALSE)</f>
        <v>0.45</v>
      </c>
      <c r="AO80" s="71">
        <f>VLOOKUP(UNG[[#This Row],[CURSO]],'[1]POS_EAD_0112 a 3101_CAMP. REG)'!$F$463:$M$688,8,FALSE)</f>
        <v>200.83</v>
      </c>
      <c r="AP80" s="124">
        <f>VLOOKUP(UNG[[#This Row],[CURSO]],'[1]POS_EAD_0112 a 3101_CAMP. REG)'!$F$463:$P$688,11,FALSE)</f>
        <v>0.5</v>
      </c>
      <c r="AQ80" s="71">
        <f>VLOOKUP(UNG[[#This Row],[CURSO]],'[1]POS_EAD_0112 a 3101_CAMP. REG)'!$F$463:$Q$688,12,FALSE)</f>
        <v>182.57</v>
      </c>
      <c r="AS80" s="121" t="s">
        <v>215</v>
      </c>
      <c r="AT80" s="69" t="s">
        <v>19</v>
      </c>
      <c r="AU80" s="69" t="str">
        <f>VLOOKUP(UNINASSAU[[#This Row],[CURSO]],'[1]POS_EAD_0112 a 3101_CAMP. REG)'!$F$690:$G$915,2,FALSE)</f>
        <v>Exatas</v>
      </c>
      <c r="AV80" s="69">
        <f>VLOOKUP(UNINASSAU[[#This Row],[CURSO]],'[1]POS_EAD_0112 a 3101_CAMP. REG)'!$F$690:$H$915,3,FALSE)</f>
        <v>6</v>
      </c>
      <c r="AW80" s="69">
        <f>VLOOKUP(UNINASSAU[[#This Row],[CURSO]],'[1]POS_EAD_0112 a 3101_CAMP. REG)'!$F$690:$I$915,4,FALSE)</f>
        <v>13</v>
      </c>
      <c r="AX80" s="73">
        <f>VLOOKUP(UNINASSAU[[#This Row],[CURSO]],'[1]POS_EAD_0112 a 3101_CAMP. REG)'!$F$690:$J$915,5,FALSE)</f>
        <v>405.70905000000005</v>
      </c>
      <c r="AY80" s="72">
        <f>VLOOKUP(UNINASSAU[[#This Row],[CURSO]],'[1]POS_EAD_0112 a 3101_CAMP. REG)'!$F$690:$L$915,7,FALSE)</f>
        <v>0.45</v>
      </c>
      <c r="AZ80" s="73">
        <f>VLOOKUP(UNINASSAU[[#This Row],[CURSO]],'[1]POS_EAD_0112 a 3101_CAMP. REG)'!$F$690:$N$915,8,FALSE)</f>
        <v>200.83</v>
      </c>
      <c r="BA80" s="72">
        <f>VLOOKUP(UNINASSAU[[#This Row],[CURSO]],'[1]POS_EAD_0112 a 3101_CAMP. REG)'!$F$690:$P$915,11,FALSE)</f>
        <v>0.5</v>
      </c>
      <c r="BB80" s="73">
        <f>VLOOKUP(UNINASSAU[[#This Row],[CURSO]],'[1]POS_EAD_0112 a 3101_CAMP. REG)'!$F$690:$Q$915,12,FALSE)</f>
        <v>182.57</v>
      </c>
      <c r="BD80" s="104">
        <v>77</v>
      </c>
      <c r="BE80" s="121" t="s">
        <v>215</v>
      </c>
      <c r="BF80" s="69" t="s">
        <v>19</v>
      </c>
    </row>
    <row r="81" spans="12:58" x14ac:dyDescent="0.25">
      <c r="L81" s="121" t="s">
        <v>226</v>
      </c>
      <c r="M81" s="69" t="s">
        <v>19</v>
      </c>
      <c r="N81" s="69" t="str">
        <f>VLOOKUP($L$4,'[1]POS_EAD_0112 a 3101_CAMP. REG)'!$F$5:$G$231,2,FALSE)</f>
        <v>Humanas</v>
      </c>
      <c r="O81" s="69">
        <f>VLOOKUP(L81,'[1]POS_EAD_0112 a 3101_CAMP. REG)'!$F$5:$H$231,3,FALSE)</f>
        <v>6</v>
      </c>
      <c r="P81" s="68">
        <f>VLOOKUP(L81,'[1]POS_EAD_0112 a 3101_CAMP. REG)'!$F$5:$I$231,4,FALSE)</f>
        <v>13</v>
      </c>
      <c r="Q81" s="73">
        <f>VLOOKUP(L81,'[1]POS_EAD_0112 a 3101_CAMP. REG)'!$F$5:$J$231,5,FALSE)</f>
        <v>405.70905000000005</v>
      </c>
      <c r="R81" s="124">
        <f>VLOOKUP(L81,'[1]POS_EAD_0112 a 3101_CAMP. REG)'!$F$5:$L$231,7,FALSE)</f>
        <v>0.45</v>
      </c>
      <c r="S81" s="73">
        <f>VLOOKUP(L81,'[1]POS_EAD_0112 a 3101_CAMP. REG)'!$F$5:$M$231,8,FALSE)</f>
        <v>200.83</v>
      </c>
      <c r="T81" s="124">
        <f>VLOOKUP(L81,'[1]POS_EAD_0112 a 3101_CAMP. REG)'!$F$5:$P$231,11,FALSE)</f>
        <v>0.5</v>
      </c>
      <c r="U81" s="73">
        <f>VLOOKUP(L81,'[1]POS_EAD_0112 a 3101_CAMP. REG)'!$F$5:$Q$231,12,FALSE)</f>
        <v>182.57</v>
      </c>
      <c r="W81" s="121" t="s">
        <v>226</v>
      </c>
      <c r="X81" s="69" t="s">
        <v>19</v>
      </c>
      <c r="Y81" s="69" t="str">
        <f>VLOOKUP(W81,'[1]POS_EAD_0112 a 3101_CAMP. REG)'!$F$231:$G$461,2,FALSE)</f>
        <v>Exatas</v>
      </c>
      <c r="Z81" s="68">
        <f>VLOOKUP(W81,'[1]POS_EAD_0112 a 3101_CAMP. REG)'!$F$231:$H$461,3,FALSE)</f>
        <v>6</v>
      </c>
      <c r="AA81" s="68">
        <f>VLOOKUP(W81,'[1]POS_EAD_0112 a 3101_CAMP. REG)'!$F$231:$I$461,4,FALSE)</f>
        <v>13</v>
      </c>
      <c r="AB81" s="73">
        <f>VLOOKUP(W81,'[1]POS_EAD_0112 a 3101_CAMP. REG)'!$F$231:$J$461,5,FALSE)</f>
        <v>439.79280900000003</v>
      </c>
      <c r="AC81" s="72">
        <f>VLOOKUP(W81,'[1]POS_EAD_0112 a 3101_CAMP. REG)'!$F$231:$L$461,7,FALSE)</f>
        <v>0.45</v>
      </c>
      <c r="AD81" s="73">
        <f>VLOOKUP(W81,'[1]POS_EAD_0112 a 3101_CAMP. REG)'!$F$231:$M$461,8,FALSE)</f>
        <v>217.7</v>
      </c>
      <c r="AE81" s="72">
        <f>VLOOKUP(W81,'[1]POS_EAD_0112 a 3101_CAMP. REG)'!$F$231:$P$461,11,FALSE)</f>
        <v>0.5</v>
      </c>
      <c r="AF81" s="73">
        <f>VLOOKUP(W81,'[1]POS_EAD_0112 a 3101_CAMP. REG)'!$F$231:$Q$461,12,FALSE)</f>
        <v>197.91</v>
      </c>
      <c r="AH81" s="121" t="s">
        <v>226</v>
      </c>
      <c r="AI81" s="69" t="s">
        <v>19</v>
      </c>
      <c r="AJ81" s="68" t="str">
        <f>VLOOKUP(UNG[[#This Row],[CURSO]],'[1]POS_EAD_0112 a 3101_CAMP. REG)'!$F$463:$G$688,2,FALSE)</f>
        <v>Exatas</v>
      </c>
      <c r="AK81" s="68">
        <f>VLOOKUP(UNG[[#This Row],[CURSO]],'[1]POS_EAD_0112 a 3101_CAMP. REG)'!$F$463:$H$688,3,FALSE)</f>
        <v>6</v>
      </c>
      <c r="AL81" s="68">
        <f>VLOOKUP(UNG[[#This Row],[CURSO]],'[1]POS_EAD_0112 a 3101_CAMP. REG)'!$F$463:$I$688,4,FALSE)</f>
        <v>13</v>
      </c>
      <c r="AM81" s="71">
        <f>VLOOKUP(UNG[[#This Row],[CURSO]],'[1]POS_EAD_0112 a 3101_CAMP. REG)'!$F$463:$J$688,5,FALSE)</f>
        <v>405.70905000000005</v>
      </c>
      <c r="AN81" s="124">
        <f>VLOOKUP(UNG[[#This Row],[CURSO]],'[1]POS_EAD_0112 a 3101_CAMP. REG)'!$F$463:$L$688,7,FALSE)</f>
        <v>0.45</v>
      </c>
      <c r="AO81" s="71">
        <f>VLOOKUP(UNG[[#This Row],[CURSO]],'[1]POS_EAD_0112 a 3101_CAMP. REG)'!$F$463:$M$688,8,FALSE)</f>
        <v>200.83</v>
      </c>
      <c r="AP81" s="124">
        <f>VLOOKUP(UNG[[#This Row],[CURSO]],'[1]POS_EAD_0112 a 3101_CAMP. REG)'!$F$463:$P$688,11,FALSE)</f>
        <v>0.5</v>
      </c>
      <c r="AQ81" s="71">
        <f>VLOOKUP(UNG[[#This Row],[CURSO]],'[1]POS_EAD_0112 a 3101_CAMP. REG)'!$F$463:$Q$688,12,FALSE)</f>
        <v>182.57</v>
      </c>
      <c r="AS81" s="121" t="s">
        <v>226</v>
      </c>
      <c r="AT81" s="69" t="s">
        <v>19</v>
      </c>
      <c r="AU81" s="69" t="str">
        <f>VLOOKUP(UNINASSAU[[#This Row],[CURSO]],'[1]POS_EAD_0112 a 3101_CAMP. REG)'!$F$690:$G$915,2,FALSE)</f>
        <v>Exatas</v>
      </c>
      <c r="AV81" s="69">
        <f>VLOOKUP(UNINASSAU[[#This Row],[CURSO]],'[1]POS_EAD_0112 a 3101_CAMP. REG)'!$F$690:$H$915,3,FALSE)</f>
        <v>6</v>
      </c>
      <c r="AW81" s="69">
        <f>VLOOKUP(UNINASSAU[[#This Row],[CURSO]],'[1]POS_EAD_0112 a 3101_CAMP. REG)'!$F$690:$I$915,4,FALSE)</f>
        <v>13</v>
      </c>
      <c r="AX81" s="73">
        <f>VLOOKUP(UNINASSAU[[#This Row],[CURSO]],'[1]POS_EAD_0112 a 3101_CAMP. REG)'!$F$690:$J$915,5,FALSE)</f>
        <v>405.70905000000005</v>
      </c>
      <c r="AY81" s="72">
        <f>VLOOKUP(UNINASSAU[[#This Row],[CURSO]],'[1]POS_EAD_0112 a 3101_CAMP. REG)'!$F$690:$L$915,7,FALSE)</f>
        <v>0.45</v>
      </c>
      <c r="AZ81" s="73">
        <f>VLOOKUP(UNINASSAU[[#This Row],[CURSO]],'[1]POS_EAD_0112 a 3101_CAMP. REG)'!$F$690:$N$915,8,FALSE)</f>
        <v>200.83</v>
      </c>
      <c r="BA81" s="72">
        <f>VLOOKUP(UNINASSAU[[#This Row],[CURSO]],'[1]POS_EAD_0112 a 3101_CAMP. REG)'!$F$690:$P$915,11,FALSE)</f>
        <v>0.5</v>
      </c>
      <c r="BB81" s="73">
        <f>VLOOKUP(UNINASSAU[[#This Row],[CURSO]],'[1]POS_EAD_0112 a 3101_CAMP. REG)'!$F$690:$Q$915,12,FALSE)</f>
        <v>182.57</v>
      </c>
      <c r="BD81" s="104">
        <v>78</v>
      </c>
      <c r="BE81" s="121" t="s">
        <v>226</v>
      </c>
      <c r="BF81" s="69" t="s">
        <v>19</v>
      </c>
    </row>
    <row r="82" spans="12:58" x14ac:dyDescent="0.25">
      <c r="L82" s="121" t="s">
        <v>233</v>
      </c>
      <c r="M82" s="69" t="s">
        <v>19</v>
      </c>
      <c r="N82" s="69" t="str">
        <f>VLOOKUP($L$4,'[1]POS_EAD_0112 a 3101_CAMP. REG)'!$F$5:$G$231,2,FALSE)</f>
        <v>Humanas</v>
      </c>
      <c r="O82" s="69">
        <f>VLOOKUP(L82,'[1]POS_EAD_0112 a 3101_CAMP. REG)'!$F$5:$H$231,3,FALSE)</f>
        <v>6</v>
      </c>
      <c r="P82" s="68">
        <f>VLOOKUP(L82,'[1]POS_EAD_0112 a 3101_CAMP. REG)'!$F$5:$I$231,4,FALSE)</f>
        <v>13</v>
      </c>
      <c r="Q82" s="73">
        <f>VLOOKUP(L82,'[1]POS_EAD_0112 a 3101_CAMP. REG)'!$F$5:$J$231,5,FALSE)</f>
        <v>405.70905000000005</v>
      </c>
      <c r="R82" s="124">
        <f>VLOOKUP(L82,'[1]POS_EAD_0112 a 3101_CAMP. REG)'!$F$5:$L$231,7,FALSE)</f>
        <v>0.45</v>
      </c>
      <c r="S82" s="73">
        <f>VLOOKUP(L82,'[1]POS_EAD_0112 a 3101_CAMP. REG)'!$F$5:$M$231,8,FALSE)</f>
        <v>200.83</v>
      </c>
      <c r="T82" s="124">
        <f>VLOOKUP(L82,'[1]POS_EAD_0112 a 3101_CAMP. REG)'!$F$5:$P$231,11,FALSE)</f>
        <v>0.5</v>
      </c>
      <c r="U82" s="73">
        <f>VLOOKUP(L82,'[1]POS_EAD_0112 a 3101_CAMP. REG)'!$F$5:$Q$231,12,FALSE)</f>
        <v>182.57</v>
      </c>
      <c r="W82" s="121" t="s">
        <v>233</v>
      </c>
      <c r="X82" s="69" t="s">
        <v>19</v>
      </c>
      <c r="Y82" s="69" t="str">
        <f>VLOOKUP(W82,'[1]POS_EAD_0112 a 3101_CAMP. REG)'!$F$231:$G$461,2,FALSE)</f>
        <v>Exatas</v>
      </c>
      <c r="Z82" s="68">
        <f>VLOOKUP(W82,'[1]POS_EAD_0112 a 3101_CAMP. REG)'!$F$231:$H$461,3,FALSE)</f>
        <v>6</v>
      </c>
      <c r="AA82" s="68">
        <f>VLOOKUP(W82,'[1]POS_EAD_0112 a 3101_CAMP. REG)'!$F$231:$I$461,4,FALSE)</f>
        <v>13</v>
      </c>
      <c r="AB82" s="73">
        <f>VLOOKUP(W82,'[1]POS_EAD_0112 a 3101_CAMP. REG)'!$F$231:$J$461,5,FALSE)</f>
        <v>439.79280900000003</v>
      </c>
      <c r="AC82" s="72">
        <f>VLOOKUP(W82,'[1]POS_EAD_0112 a 3101_CAMP. REG)'!$F$231:$L$461,7,FALSE)</f>
        <v>0.45</v>
      </c>
      <c r="AD82" s="73">
        <f>VLOOKUP(W82,'[1]POS_EAD_0112 a 3101_CAMP. REG)'!$F$231:$M$461,8,FALSE)</f>
        <v>217.7</v>
      </c>
      <c r="AE82" s="72">
        <f>VLOOKUP(W82,'[1]POS_EAD_0112 a 3101_CAMP. REG)'!$F$231:$P$461,11,FALSE)</f>
        <v>0.5</v>
      </c>
      <c r="AF82" s="73">
        <f>VLOOKUP(W82,'[1]POS_EAD_0112 a 3101_CAMP. REG)'!$F$231:$Q$461,12,FALSE)</f>
        <v>197.91</v>
      </c>
      <c r="AH82" s="121" t="s">
        <v>233</v>
      </c>
      <c r="AI82" s="69" t="s">
        <v>19</v>
      </c>
      <c r="AJ82" s="68" t="str">
        <f>VLOOKUP(UNG[[#This Row],[CURSO]],'[1]POS_EAD_0112 a 3101_CAMP. REG)'!$F$463:$G$688,2,FALSE)</f>
        <v>Exatas</v>
      </c>
      <c r="AK82" s="68">
        <f>VLOOKUP(UNG[[#This Row],[CURSO]],'[1]POS_EAD_0112 a 3101_CAMP. REG)'!$F$463:$H$688,3,FALSE)</f>
        <v>6</v>
      </c>
      <c r="AL82" s="68">
        <f>VLOOKUP(UNG[[#This Row],[CURSO]],'[1]POS_EAD_0112 a 3101_CAMP. REG)'!$F$463:$I$688,4,FALSE)</f>
        <v>13</v>
      </c>
      <c r="AM82" s="71">
        <f>VLOOKUP(UNG[[#This Row],[CURSO]],'[1]POS_EAD_0112 a 3101_CAMP. REG)'!$F$463:$J$688,5,FALSE)</f>
        <v>405.70905000000005</v>
      </c>
      <c r="AN82" s="124">
        <f>VLOOKUP(UNG[[#This Row],[CURSO]],'[1]POS_EAD_0112 a 3101_CAMP. REG)'!$F$463:$L$688,7,FALSE)</f>
        <v>0.45</v>
      </c>
      <c r="AO82" s="71">
        <f>VLOOKUP(UNG[[#This Row],[CURSO]],'[1]POS_EAD_0112 a 3101_CAMP. REG)'!$F$463:$M$688,8,FALSE)</f>
        <v>200.83</v>
      </c>
      <c r="AP82" s="124">
        <f>VLOOKUP(UNG[[#This Row],[CURSO]],'[1]POS_EAD_0112 a 3101_CAMP. REG)'!$F$463:$P$688,11,FALSE)</f>
        <v>0.5</v>
      </c>
      <c r="AQ82" s="71">
        <f>VLOOKUP(UNG[[#This Row],[CURSO]],'[1]POS_EAD_0112 a 3101_CAMP. REG)'!$F$463:$Q$688,12,FALSE)</f>
        <v>182.57</v>
      </c>
      <c r="AS82" s="121" t="s">
        <v>233</v>
      </c>
      <c r="AT82" s="69" t="s">
        <v>19</v>
      </c>
      <c r="AU82" s="69" t="str">
        <f>VLOOKUP(UNINASSAU[[#This Row],[CURSO]],'[1]POS_EAD_0112 a 3101_CAMP. REG)'!$F$690:$G$915,2,FALSE)</f>
        <v>Exatas</v>
      </c>
      <c r="AV82" s="69">
        <f>VLOOKUP(UNINASSAU[[#This Row],[CURSO]],'[1]POS_EAD_0112 a 3101_CAMP. REG)'!$F$690:$H$915,3,FALSE)</f>
        <v>6</v>
      </c>
      <c r="AW82" s="69">
        <f>VLOOKUP(UNINASSAU[[#This Row],[CURSO]],'[1]POS_EAD_0112 a 3101_CAMP. REG)'!$F$690:$I$915,4,FALSE)</f>
        <v>13</v>
      </c>
      <c r="AX82" s="73">
        <f>VLOOKUP(UNINASSAU[[#This Row],[CURSO]],'[1]POS_EAD_0112 a 3101_CAMP. REG)'!$F$690:$J$915,5,FALSE)</f>
        <v>405.70905000000005</v>
      </c>
      <c r="AY82" s="72">
        <f>VLOOKUP(UNINASSAU[[#This Row],[CURSO]],'[1]POS_EAD_0112 a 3101_CAMP. REG)'!$F$690:$L$915,7,FALSE)</f>
        <v>0.45</v>
      </c>
      <c r="AZ82" s="73">
        <f>VLOOKUP(UNINASSAU[[#This Row],[CURSO]],'[1]POS_EAD_0112 a 3101_CAMP. REG)'!$F$690:$N$915,8,FALSE)</f>
        <v>200.83</v>
      </c>
      <c r="BA82" s="72">
        <f>VLOOKUP(UNINASSAU[[#This Row],[CURSO]],'[1]POS_EAD_0112 a 3101_CAMP. REG)'!$F$690:$P$915,11,FALSE)</f>
        <v>0.5</v>
      </c>
      <c r="BB82" s="73">
        <f>VLOOKUP(UNINASSAU[[#This Row],[CURSO]],'[1]POS_EAD_0112 a 3101_CAMP. REG)'!$F$690:$Q$915,12,FALSE)</f>
        <v>182.57</v>
      </c>
      <c r="BD82" s="104">
        <v>79</v>
      </c>
      <c r="BE82" s="121" t="s">
        <v>233</v>
      </c>
      <c r="BF82" s="69" t="s">
        <v>19</v>
      </c>
    </row>
    <row r="83" spans="12:58" x14ac:dyDescent="0.25">
      <c r="L83" s="121" t="s">
        <v>241</v>
      </c>
      <c r="M83" s="69" t="s">
        <v>19</v>
      </c>
      <c r="N83" s="69" t="str">
        <f>VLOOKUP($L$4,'[1]POS_EAD_0112 a 3101_CAMP. REG)'!$F$5:$G$231,2,FALSE)</f>
        <v>Humanas</v>
      </c>
      <c r="O83" s="69">
        <f>VLOOKUP(L83,'[1]POS_EAD_0112 a 3101_CAMP. REG)'!$F$5:$H$231,3,FALSE)</f>
        <v>6</v>
      </c>
      <c r="P83" s="68">
        <f>VLOOKUP(L83,'[1]POS_EAD_0112 a 3101_CAMP. REG)'!$F$5:$I$231,4,FALSE)</f>
        <v>13</v>
      </c>
      <c r="Q83" s="73">
        <f>VLOOKUP(L83,'[1]POS_EAD_0112 a 3101_CAMP. REG)'!$F$5:$J$231,5,FALSE)</f>
        <v>405.70905000000005</v>
      </c>
      <c r="R83" s="124">
        <f>VLOOKUP(L83,'[1]POS_EAD_0112 a 3101_CAMP. REG)'!$F$5:$L$231,7,FALSE)</f>
        <v>0.45</v>
      </c>
      <c r="S83" s="73">
        <f>VLOOKUP(L83,'[1]POS_EAD_0112 a 3101_CAMP. REG)'!$F$5:$M$231,8,FALSE)</f>
        <v>200.83</v>
      </c>
      <c r="T83" s="124">
        <f>VLOOKUP(L83,'[1]POS_EAD_0112 a 3101_CAMP. REG)'!$F$5:$P$231,11,FALSE)</f>
        <v>0.5</v>
      </c>
      <c r="U83" s="73">
        <f>VLOOKUP(L83,'[1]POS_EAD_0112 a 3101_CAMP. REG)'!$F$5:$Q$231,12,FALSE)</f>
        <v>182.57</v>
      </c>
      <c r="W83" s="121" t="s">
        <v>241</v>
      </c>
      <c r="X83" s="69" t="s">
        <v>19</v>
      </c>
      <c r="Y83" s="69" t="str">
        <f>VLOOKUP(W83,'[1]POS_EAD_0112 a 3101_CAMP. REG)'!$F$231:$G$461,2,FALSE)</f>
        <v>Exatas</v>
      </c>
      <c r="Z83" s="68">
        <f>VLOOKUP(W83,'[1]POS_EAD_0112 a 3101_CAMP. REG)'!$F$231:$H$461,3,FALSE)</f>
        <v>6</v>
      </c>
      <c r="AA83" s="68">
        <f>VLOOKUP(W83,'[1]POS_EAD_0112 a 3101_CAMP. REG)'!$F$231:$I$461,4,FALSE)</f>
        <v>13</v>
      </c>
      <c r="AB83" s="73">
        <f>VLOOKUP(W83,'[1]POS_EAD_0112 a 3101_CAMP. REG)'!$F$231:$J$461,5,FALSE)</f>
        <v>439.79280900000003</v>
      </c>
      <c r="AC83" s="72">
        <f>VLOOKUP(W83,'[1]POS_EAD_0112 a 3101_CAMP. REG)'!$F$231:$L$461,7,FALSE)</f>
        <v>0.45</v>
      </c>
      <c r="AD83" s="73">
        <f>VLOOKUP(W83,'[1]POS_EAD_0112 a 3101_CAMP. REG)'!$F$231:$M$461,8,FALSE)</f>
        <v>217.7</v>
      </c>
      <c r="AE83" s="72">
        <f>VLOOKUP(W83,'[1]POS_EAD_0112 a 3101_CAMP. REG)'!$F$231:$P$461,11,FALSE)</f>
        <v>0.5</v>
      </c>
      <c r="AF83" s="73">
        <f>VLOOKUP(W83,'[1]POS_EAD_0112 a 3101_CAMP. REG)'!$F$231:$Q$461,12,FALSE)</f>
        <v>197.91</v>
      </c>
      <c r="AH83" s="121" t="s">
        <v>241</v>
      </c>
      <c r="AI83" s="69" t="s">
        <v>19</v>
      </c>
      <c r="AJ83" s="68" t="str">
        <f>VLOOKUP(UNG[[#This Row],[CURSO]],'[1]POS_EAD_0112 a 3101_CAMP. REG)'!$F$463:$G$688,2,FALSE)</f>
        <v>Exatas</v>
      </c>
      <c r="AK83" s="68">
        <f>VLOOKUP(UNG[[#This Row],[CURSO]],'[1]POS_EAD_0112 a 3101_CAMP. REG)'!$F$463:$H$688,3,FALSE)</f>
        <v>6</v>
      </c>
      <c r="AL83" s="68">
        <f>VLOOKUP(UNG[[#This Row],[CURSO]],'[1]POS_EAD_0112 a 3101_CAMP. REG)'!$F$463:$I$688,4,FALSE)</f>
        <v>13</v>
      </c>
      <c r="AM83" s="71">
        <f>VLOOKUP(UNG[[#This Row],[CURSO]],'[1]POS_EAD_0112 a 3101_CAMP. REG)'!$F$463:$J$688,5,FALSE)</f>
        <v>405.70905000000005</v>
      </c>
      <c r="AN83" s="124">
        <f>VLOOKUP(UNG[[#This Row],[CURSO]],'[1]POS_EAD_0112 a 3101_CAMP. REG)'!$F$463:$L$688,7,FALSE)</f>
        <v>0.45</v>
      </c>
      <c r="AO83" s="71">
        <f>VLOOKUP(UNG[[#This Row],[CURSO]],'[1]POS_EAD_0112 a 3101_CAMP. REG)'!$F$463:$M$688,8,FALSE)</f>
        <v>200.83</v>
      </c>
      <c r="AP83" s="124">
        <f>VLOOKUP(UNG[[#This Row],[CURSO]],'[1]POS_EAD_0112 a 3101_CAMP. REG)'!$F$463:$P$688,11,FALSE)</f>
        <v>0.5</v>
      </c>
      <c r="AQ83" s="71">
        <f>VLOOKUP(UNG[[#This Row],[CURSO]],'[1]POS_EAD_0112 a 3101_CAMP. REG)'!$F$463:$Q$688,12,FALSE)</f>
        <v>182.57</v>
      </c>
      <c r="AS83" s="121" t="s">
        <v>241</v>
      </c>
      <c r="AT83" s="69" t="s">
        <v>19</v>
      </c>
      <c r="AU83" s="69" t="str">
        <f>VLOOKUP(UNINASSAU[[#This Row],[CURSO]],'[1]POS_EAD_0112 a 3101_CAMP. REG)'!$F$690:$G$915,2,FALSE)</f>
        <v>Exatas</v>
      </c>
      <c r="AV83" s="69">
        <f>VLOOKUP(UNINASSAU[[#This Row],[CURSO]],'[1]POS_EAD_0112 a 3101_CAMP. REG)'!$F$690:$H$915,3,FALSE)</f>
        <v>6</v>
      </c>
      <c r="AW83" s="69">
        <f>VLOOKUP(UNINASSAU[[#This Row],[CURSO]],'[1]POS_EAD_0112 a 3101_CAMP. REG)'!$F$690:$I$915,4,FALSE)</f>
        <v>13</v>
      </c>
      <c r="AX83" s="73">
        <f>VLOOKUP(UNINASSAU[[#This Row],[CURSO]],'[1]POS_EAD_0112 a 3101_CAMP. REG)'!$F$690:$J$915,5,FALSE)</f>
        <v>405.70905000000005</v>
      </c>
      <c r="AY83" s="72">
        <f>VLOOKUP(UNINASSAU[[#This Row],[CURSO]],'[1]POS_EAD_0112 a 3101_CAMP. REG)'!$F$690:$L$915,7,FALSE)</f>
        <v>0.45</v>
      </c>
      <c r="AZ83" s="73">
        <f>VLOOKUP(UNINASSAU[[#This Row],[CURSO]],'[1]POS_EAD_0112 a 3101_CAMP. REG)'!$F$690:$N$915,8,FALSE)</f>
        <v>200.83</v>
      </c>
      <c r="BA83" s="72">
        <f>VLOOKUP(UNINASSAU[[#This Row],[CURSO]],'[1]POS_EAD_0112 a 3101_CAMP. REG)'!$F$690:$P$915,11,FALSE)</f>
        <v>0.5</v>
      </c>
      <c r="BB83" s="73">
        <f>VLOOKUP(UNINASSAU[[#This Row],[CURSO]],'[1]POS_EAD_0112 a 3101_CAMP. REG)'!$F$690:$Q$915,12,FALSE)</f>
        <v>182.57</v>
      </c>
      <c r="BD83" s="104">
        <v>80</v>
      </c>
      <c r="BE83" s="121" t="s">
        <v>241</v>
      </c>
      <c r="BF83" s="69" t="s">
        <v>19</v>
      </c>
    </row>
    <row r="84" spans="12:58" x14ac:dyDescent="0.25">
      <c r="L84" s="121" t="s">
        <v>51</v>
      </c>
      <c r="M84" s="69" t="s">
        <v>19</v>
      </c>
      <c r="N84" s="69" t="str">
        <f>VLOOKUP($L$4,'[1]POS_EAD_0112 a 3101_CAMP. REG)'!$F$5:$G$231,2,FALSE)</f>
        <v>Humanas</v>
      </c>
      <c r="O84" s="69">
        <f>VLOOKUP(L84,'[1]POS_EAD_0112 a 3101_CAMP. REG)'!$F$5:$H$231,3,FALSE)</f>
        <v>6</v>
      </c>
      <c r="P84" s="68">
        <f>VLOOKUP(L84,'[1]POS_EAD_0112 a 3101_CAMP. REG)'!$F$5:$I$231,4,FALSE)</f>
        <v>13</v>
      </c>
      <c r="Q84" s="73">
        <f>VLOOKUP(L84,'[1]POS_EAD_0112 a 3101_CAMP. REG)'!$F$5:$J$231,5,FALSE)</f>
        <v>269.33202599999998</v>
      </c>
      <c r="R84" s="124">
        <f>VLOOKUP(L84,'[1]POS_EAD_0112 a 3101_CAMP. REG)'!$F$5:$L$231,7,FALSE)</f>
        <v>0.45</v>
      </c>
      <c r="S84" s="73">
        <f>VLOOKUP(L84,'[1]POS_EAD_0112 a 3101_CAMP. REG)'!$F$5:$M$231,8,FALSE)</f>
        <v>133.32</v>
      </c>
      <c r="T84" s="124">
        <f>VLOOKUP(L84,'[1]POS_EAD_0112 a 3101_CAMP. REG)'!$F$5:$P$231,11,FALSE)</f>
        <v>0.5</v>
      </c>
      <c r="U84" s="73">
        <f>VLOOKUP(L84,'[1]POS_EAD_0112 a 3101_CAMP. REG)'!$F$5:$Q$231,12,FALSE)</f>
        <v>121.2</v>
      </c>
      <c r="W84" s="121" t="s">
        <v>51</v>
      </c>
      <c r="X84" s="69" t="s">
        <v>19</v>
      </c>
      <c r="Y84" s="69" t="str">
        <f>VLOOKUP(W84,'[1]POS_EAD_0112 a 3101_CAMP. REG)'!$F$231:$G$461,2,FALSE)</f>
        <v>Exatas</v>
      </c>
      <c r="Z84" s="68">
        <f>VLOOKUP(W84,'[1]POS_EAD_0112 a 3101_CAMP. REG)'!$F$231:$H$461,3,FALSE)</f>
        <v>6</v>
      </c>
      <c r="AA84" s="68">
        <f>VLOOKUP(W84,'[1]POS_EAD_0112 a 3101_CAMP. REG)'!$F$231:$I$461,4,FALSE)</f>
        <v>13</v>
      </c>
      <c r="AB84" s="73">
        <f>VLOOKUP(W84,'[1]POS_EAD_0112 a 3101_CAMP. REG)'!$F$231:$J$461,5,FALSE)</f>
        <v>303.42628200000001</v>
      </c>
      <c r="AC84" s="72">
        <f>VLOOKUP(W84,'[1]POS_EAD_0112 a 3101_CAMP. REG)'!$F$231:$L$461,7,FALSE)</f>
        <v>0.45</v>
      </c>
      <c r="AD84" s="73">
        <f>VLOOKUP(W84,'[1]POS_EAD_0112 a 3101_CAMP. REG)'!$F$231:$M$461,8,FALSE)</f>
        <v>150.19999999999999</v>
      </c>
      <c r="AE84" s="72">
        <f>VLOOKUP(W84,'[1]POS_EAD_0112 a 3101_CAMP. REG)'!$F$231:$P$461,11,FALSE)</f>
        <v>0.5</v>
      </c>
      <c r="AF84" s="73">
        <f>VLOOKUP(W84,'[1]POS_EAD_0112 a 3101_CAMP. REG)'!$F$231:$Q$461,12,FALSE)</f>
        <v>136.54</v>
      </c>
      <c r="AH84" s="121" t="s">
        <v>51</v>
      </c>
      <c r="AI84" s="69" t="s">
        <v>19</v>
      </c>
      <c r="AJ84" s="68" t="str">
        <f>VLOOKUP(UNG[[#This Row],[CURSO]],'[1]POS_EAD_0112 a 3101_CAMP. REG)'!$F$463:$G$688,2,FALSE)</f>
        <v>Exatas</v>
      </c>
      <c r="AK84" s="68">
        <f>VLOOKUP(UNG[[#This Row],[CURSO]],'[1]POS_EAD_0112 a 3101_CAMP. REG)'!$F$463:$H$688,3,FALSE)</f>
        <v>6</v>
      </c>
      <c r="AL84" s="68">
        <f>VLOOKUP(UNG[[#This Row],[CURSO]],'[1]POS_EAD_0112 a 3101_CAMP. REG)'!$F$463:$I$688,4,FALSE)</f>
        <v>13</v>
      </c>
      <c r="AM84" s="71">
        <f>VLOOKUP(UNG[[#This Row],[CURSO]],'[1]POS_EAD_0112 a 3101_CAMP. REG)'!$F$463:$J$688,5,FALSE)</f>
        <v>269.33202599999998</v>
      </c>
      <c r="AN84" s="124">
        <f>VLOOKUP(UNG[[#This Row],[CURSO]],'[1]POS_EAD_0112 a 3101_CAMP. REG)'!$F$463:$L$688,7,FALSE)</f>
        <v>0.45</v>
      </c>
      <c r="AO84" s="71">
        <f>VLOOKUP(UNG[[#This Row],[CURSO]],'[1]POS_EAD_0112 a 3101_CAMP. REG)'!$F$463:$M$688,8,FALSE)</f>
        <v>133.32</v>
      </c>
      <c r="AP84" s="124">
        <f>VLOOKUP(UNG[[#This Row],[CURSO]],'[1]POS_EAD_0112 a 3101_CAMP. REG)'!$F$463:$P$688,11,FALSE)</f>
        <v>0.5</v>
      </c>
      <c r="AQ84" s="71">
        <f>VLOOKUP(UNG[[#This Row],[CURSO]],'[1]POS_EAD_0112 a 3101_CAMP. REG)'!$F$463:$Q$688,12,FALSE)</f>
        <v>121.2</v>
      </c>
      <c r="AS84" s="121" t="s">
        <v>51</v>
      </c>
      <c r="AT84" s="69" t="s">
        <v>19</v>
      </c>
      <c r="AU84" s="69" t="str">
        <f>VLOOKUP(UNINASSAU[[#This Row],[CURSO]],'[1]POS_EAD_0112 a 3101_CAMP. REG)'!$F$690:$G$915,2,FALSE)</f>
        <v>Exatas</v>
      </c>
      <c r="AV84" s="69">
        <f>VLOOKUP(UNINASSAU[[#This Row],[CURSO]],'[1]POS_EAD_0112 a 3101_CAMP. REG)'!$F$690:$H$915,3,FALSE)</f>
        <v>6</v>
      </c>
      <c r="AW84" s="69">
        <f>VLOOKUP(UNINASSAU[[#This Row],[CURSO]],'[1]POS_EAD_0112 a 3101_CAMP. REG)'!$F$690:$I$915,4,FALSE)</f>
        <v>13</v>
      </c>
      <c r="AX84" s="73">
        <f>VLOOKUP(UNINASSAU[[#This Row],[CURSO]],'[1]POS_EAD_0112 a 3101_CAMP. REG)'!$F$690:$J$915,5,FALSE)</f>
        <v>269.33202599999998</v>
      </c>
      <c r="AY84" s="72">
        <f>VLOOKUP(UNINASSAU[[#This Row],[CURSO]],'[1]POS_EAD_0112 a 3101_CAMP. REG)'!$F$690:$L$915,7,FALSE)</f>
        <v>0.45</v>
      </c>
      <c r="AZ84" s="73">
        <f>VLOOKUP(UNINASSAU[[#This Row],[CURSO]],'[1]POS_EAD_0112 a 3101_CAMP. REG)'!$F$690:$N$915,8,FALSE)</f>
        <v>133.32</v>
      </c>
      <c r="BA84" s="72">
        <f>VLOOKUP(UNINASSAU[[#This Row],[CURSO]],'[1]POS_EAD_0112 a 3101_CAMP. REG)'!$F$690:$P$915,11,FALSE)</f>
        <v>0.5</v>
      </c>
      <c r="BB84" s="73">
        <f>VLOOKUP(UNINASSAU[[#This Row],[CURSO]],'[1]POS_EAD_0112 a 3101_CAMP. REG)'!$F$690:$Q$915,12,FALSE)</f>
        <v>121.2</v>
      </c>
      <c r="BD84" s="104">
        <v>81</v>
      </c>
      <c r="BE84" s="121" t="s">
        <v>51</v>
      </c>
      <c r="BF84" s="69" t="s">
        <v>19</v>
      </c>
    </row>
    <row r="85" spans="12:58" x14ac:dyDescent="0.25">
      <c r="L85" s="121" t="s">
        <v>214</v>
      </c>
      <c r="M85" s="69" t="s">
        <v>19</v>
      </c>
      <c r="N85" s="69" t="str">
        <f>VLOOKUP($L$4,'[1]POS_EAD_0112 a 3101_CAMP. REG)'!$F$5:$G$231,2,FALSE)</f>
        <v>Humanas</v>
      </c>
      <c r="O85" s="69">
        <f>VLOOKUP(L85,'[1]POS_EAD_0112 a 3101_CAMP. REG)'!$F$5:$H$231,3,FALSE)</f>
        <v>12</v>
      </c>
      <c r="P85" s="68">
        <f>VLOOKUP(L85,'[1]POS_EAD_0112 a 3101_CAMP. REG)'!$F$5:$I$231,4,FALSE)</f>
        <v>19</v>
      </c>
      <c r="Q85" s="73">
        <f>VLOOKUP(L85,'[1]POS_EAD_0112 a 3101_CAMP. REG)'!$F$5:$J$231,5,FALSE)</f>
        <v>184.28091221052631</v>
      </c>
      <c r="R85" s="124">
        <f>VLOOKUP(L85,'[1]POS_EAD_0112 a 3101_CAMP. REG)'!$F$5:$L$231,7,FALSE)</f>
        <v>0.45</v>
      </c>
      <c r="S85" s="73">
        <f>VLOOKUP(L85,'[1]POS_EAD_0112 a 3101_CAMP. REG)'!$F$5:$M$231,8,FALSE)</f>
        <v>91.22</v>
      </c>
      <c r="T85" s="124">
        <f>VLOOKUP(L85,'[1]POS_EAD_0112 a 3101_CAMP. REG)'!$F$5:$P$231,11,FALSE)</f>
        <v>0.5</v>
      </c>
      <c r="U85" s="73">
        <f>VLOOKUP(L85,'[1]POS_EAD_0112 a 3101_CAMP. REG)'!$F$5:$Q$231,12,FALSE)</f>
        <v>82.93</v>
      </c>
      <c r="W85" s="121" t="s">
        <v>214</v>
      </c>
      <c r="X85" s="69" t="s">
        <v>19</v>
      </c>
      <c r="Y85" s="69" t="str">
        <f>VLOOKUP(W85,'[1]POS_EAD_0112 a 3101_CAMP. REG)'!$F$231:$G$461,2,FALSE)</f>
        <v>Humanas</v>
      </c>
      <c r="Z85" s="68">
        <f>VLOOKUP(W85,'[1]POS_EAD_0112 a 3101_CAMP. REG)'!$F$231:$H$461,3,FALSE)</f>
        <v>12</v>
      </c>
      <c r="AA85" s="68">
        <f>VLOOKUP(W85,'[1]POS_EAD_0112 a 3101_CAMP. REG)'!$F$231:$I$461,4,FALSE)</f>
        <v>19</v>
      </c>
      <c r="AB85" s="73">
        <f>VLOOKUP(W85,'[1]POS_EAD_0112 a 3101_CAMP. REG)'!$F$231:$J$461,5,FALSE)</f>
        <v>207.609666</v>
      </c>
      <c r="AC85" s="72">
        <f>VLOOKUP(W85,'[1]POS_EAD_0112 a 3101_CAMP. REG)'!$F$231:$L$461,7,FALSE)</f>
        <v>0.45</v>
      </c>
      <c r="AD85" s="73">
        <f>VLOOKUP(W85,'[1]POS_EAD_0112 a 3101_CAMP. REG)'!$F$231:$M$461,8,FALSE)</f>
        <v>102.77</v>
      </c>
      <c r="AE85" s="72">
        <f>VLOOKUP(W85,'[1]POS_EAD_0112 a 3101_CAMP. REG)'!$F$231:$P$461,11,FALSE)</f>
        <v>0.5</v>
      </c>
      <c r="AF85" s="73">
        <f>VLOOKUP(W85,'[1]POS_EAD_0112 a 3101_CAMP. REG)'!$F$231:$Q$461,12,FALSE)</f>
        <v>93.42</v>
      </c>
      <c r="AH85" s="121" t="s">
        <v>214</v>
      </c>
      <c r="AI85" s="69" t="s">
        <v>19</v>
      </c>
      <c r="AJ85" s="68" t="str">
        <f>VLOOKUP(UNG[[#This Row],[CURSO]],'[1]POS_EAD_0112 a 3101_CAMP. REG)'!$F$463:$G$688,2,FALSE)</f>
        <v>Humanas</v>
      </c>
      <c r="AK85" s="68">
        <f>VLOOKUP(UNG[[#This Row],[CURSO]],'[1]POS_EAD_0112 a 3101_CAMP. REG)'!$F$463:$H$688,3,FALSE)</f>
        <v>12</v>
      </c>
      <c r="AL85" s="68">
        <f>VLOOKUP(UNG[[#This Row],[CURSO]],'[1]POS_EAD_0112 a 3101_CAMP. REG)'!$F$463:$I$688,4,FALSE)</f>
        <v>19</v>
      </c>
      <c r="AM85" s="71">
        <f>VLOOKUP(UNG[[#This Row],[CURSO]],'[1]POS_EAD_0112 a 3101_CAMP. REG)'!$F$463:$J$688,5,FALSE)</f>
        <v>184.28091221052631</v>
      </c>
      <c r="AN85" s="124">
        <f>VLOOKUP(UNG[[#This Row],[CURSO]],'[1]POS_EAD_0112 a 3101_CAMP. REG)'!$F$463:$L$688,7,FALSE)</f>
        <v>0.45</v>
      </c>
      <c r="AO85" s="71">
        <f>VLOOKUP(UNG[[#This Row],[CURSO]],'[1]POS_EAD_0112 a 3101_CAMP. REG)'!$F$463:$M$688,8,FALSE)</f>
        <v>91.22</v>
      </c>
      <c r="AP85" s="124">
        <f>VLOOKUP(UNG[[#This Row],[CURSO]],'[1]POS_EAD_0112 a 3101_CAMP. REG)'!$F$463:$P$688,11,FALSE)</f>
        <v>0.5</v>
      </c>
      <c r="AQ85" s="71">
        <f>VLOOKUP(UNG[[#This Row],[CURSO]],'[1]POS_EAD_0112 a 3101_CAMP. REG)'!$F$463:$Q$688,12,FALSE)</f>
        <v>82.93</v>
      </c>
      <c r="AS85" s="121" t="s">
        <v>214</v>
      </c>
      <c r="AT85" s="69" t="s">
        <v>19</v>
      </c>
      <c r="AU85" s="69" t="str">
        <f>VLOOKUP(UNINASSAU[[#This Row],[CURSO]],'[1]POS_EAD_0112 a 3101_CAMP. REG)'!$F$690:$G$915,2,FALSE)</f>
        <v>Humanas</v>
      </c>
      <c r="AV85" s="69">
        <f>VLOOKUP(UNINASSAU[[#This Row],[CURSO]],'[1]POS_EAD_0112 a 3101_CAMP. REG)'!$F$690:$H$915,3,FALSE)</f>
        <v>12</v>
      </c>
      <c r="AW85" s="69">
        <f>VLOOKUP(UNINASSAU[[#This Row],[CURSO]],'[1]POS_EAD_0112 a 3101_CAMP. REG)'!$F$690:$I$915,4,FALSE)</f>
        <v>19</v>
      </c>
      <c r="AX85" s="73">
        <f>VLOOKUP(UNINASSAU[[#This Row],[CURSO]],'[1]POS_EAD_0112 a 3101_CAMP. REG)'!$F$690:$J$915,5,FALSE)</f>
        <v>184.28091221052631</v>
      </c>
      <c r="AY85" s="72">
        <f>VLOOKUP(UNINASSAU[[#This Row],[CURSO]],'[1]POS_EAD_0112 a 3101_CAMP. REG)'!$F$690:$L$915,7,FALSE)</f>
        <v>0.45</v>
      </c>
      <c r="AZ85" s="73">
        <f>VLOOKUP(UNINASSAU[[#This Row],[CURSO]],'[1]POS_EAD_0112 a 3101_CAMP. REG)'!$F$690:$N$915,8,FALSE)</f>
        <v>91.22</v>
      </c>
      <c r="BA85" s="72">
        <f>VLOOKUP(UNINASSAU[[#This Row],[CURSO]],'[1]POS_EAD_0112 a 3101_CAMP. REG)'!$F$690:$P$915,11,FALSE)</f>
        <v>0.5</v>
      </c>
      <c r="BB85" s="73">
        <f>VLOOKUP(UNINASSAU[[#This Row],[CURSO]],'[1]POS_EAD_0112 a 3101_CAMP. REG)'!$F$690:$Q$915,12,FALSE)</f>
        <v>82.93</v>
      </c>
      <c r="BD85" s="104">
        <v>82</v>
      </c>
      <c r="BE85" s="121" t="s">
        <v>214</v>
      </c>
      <c r="BF85" s="69" t="s">
        <v>19</v>
      </c>
    </row>
    <row r="86" spans="12:58" x14ac:dyDescent="0.25">
      <c r="L86" s="121" t="s">
        <v>206</v>
      </c>
      <c r="M86" s="69" t="s">
        <v>19</v>
      </c>
      <c r="N86" s="69" t="str">
        <f>VLOOKUP($L$4,'[1]POS_EAD_0112 a 3101_CAMP. REG)'!$F$5:$G$231,2,FALSE)</f>
        <v>Humanas</v>
      </c>
      <c r="O86" s="69">
        <f>VLOOKUP(L86,'[1]POS_EAD_0112 a 3101_CAMP. REG)'!$F$5:$H$231,3,FALSE)</f>
        <v>6</v>
      </c>
      <c r="P86" s="68">
        <f>VLOOKUP(L86,'[1]POS_EAD_0112 a 3101_CAMP. REG)'!$F$5:$I$231,4,FALSE)</f>
        <v>13</v>
      </c>
      <c r="Q86" s="73">
        <f>VLOOKUP(L86,'[1]POS_EAD_0112 a 3101_CAMP. REG)'!$F$5:$J$231,5,FALSE)</f>
        <v>405.70905000000005</v>
      </c>
      <c r="R86" s="124">
        <f>VLOOKUP(L86,'[1]POS_EAD_0112 a 3101_CAMP. REG)'!$F$5:$L$231,7,FALSE)</f>
        <v>0.45</v>
      </c>
      <c r="S86" s="73">
        <f>VLOOKUP(L86,'[1]POS_EAD_0112 a 3101_CAMP. REG)'!$F$5:$M$231,8,FALSE)</f>
        <v>200.83</v>
      </c>
      <c r="T86" s="124">
        <f>VLOOKUP(L86,'[1]POS_EAD_0112 a 3101_CAMP. REG)'!$F$5:$P$231,11,FALSE)</f>
        <v>0.5</v>
      </c>
      <c r="U86" s="73">
        <f>VLOOKUP(L86,'[1]POS_EAD_0112 a 3101_CAMP. REG)'!$F$5:$Q$231,12,FALSE)</f>
        <v>182.57</v>
      </c>
      <c r="W86" s="121" t="s">
        <v>206</v>
      </c>
      <c r="X86" s="69" t="s">
        <v>19</v>
      </c>
      <c r="Y86" s="69" t="str">
        <f>VLOOKUP(W86,'[1]POS_EAD_0112 a 3101_CAMP. REG)'!$F$231:$G$461,2,FALSE)</f>
        <v>Saúde</v>
      </c>
      <c r="Z86" s="68">
        <f>VLOOKUP(W86,'[1]POS_EAD_0112 a 3101_CAMP. REG)'!$F$231:$H$461,3,FALSE)</f>
        <v>6</v>
      </c>
      <c r="AA86" s="68">
        <f>VLOOKUP(W86,'[1]POS_EAD_0112 a 3101_CAMP. REG)'!$F$231:$I$461,4,FALSE)</f>
        <v>13</v>
      </c>
      <c r="AB86" s="73">
        <f>VLOOKUP(W86,'[1]POS_EAD_0112 a 3101_CAMP. REG)'!$F$231:$J$461,5,FALSE)</f>
        <v>439.79280900000003</v>
      </c>
      <c r="AC86" s="72">
        <f>VLOOKUP(W86,'[1]POS_EAD_0112 a 3101_CAMP. REG)'!$F$231:$L$461,7,FALSE)</f>
        <v>0.45</v>
      </c>
      <c r="AD86" s="73">
        <f>VLOOKUP(W86,'[1]POS_EAD_0112 a 3101_CAMP. REG)'!$F$231:$M$461,8,FALSE)</f>
        <v>217.7</v>
      </c>
      <c r="AE86" s="72">
        <f>VLOOKUP(W86,'[1]POS_EAD_0112 a 3101_CAMP. REG)'!$F$231:$P$461,11,FALSE)</f>
        <v>0.5</v>
      </c>
      <c r="AF86" s="73">
        <f>VLOOKUP(W86,'[1]POS_EAD_0112 a 3101_CAMP. REG)'!$F$231:$Q$461,12,FALSE)</f>
        <v>197.91</v>
      </c>
      <c r="AH86" s="121" t="s">
        <v>206</v>
      </c>
      <c r="AI86" s="69" t="s">
        <v>19</v>
      </c>
      <c r="AJ86" s="68" t="str">
        <f>VLOOKUP(UNG[[#This Row],[CURSO]],'[1]POS_EAD_0112 a 3101_CAMP. REG)'!$F$463:$G$688,2,FALSE)</f>
        <v>Saúde</v>
      </c>
      <c r="AK86" s="68">
        <f>VLOOKUP(UNG[[#This Row],[CURSO]],'[1]POS_EAD_0112 a 3101_CAMP. REG)'!$F$463:$H$688,3,FALSE)</f>
        <v>6</v>
      </c>
      <c r="AL86" s="68">
        <f>VLOOKUP(UNG[[#This Row],[CURSO]],'[1]POS_EAD_0112 a 3101_CAMP. REG)'!$F$463:$I$688,4,FALSE)</f>
        <v>13</v>
      </c>
      <c r="AM86" s="71">
        <f>VLOOKUP(UNG[[#This Row],[CURSO]],'[1]POS_EAD_0112 a 3101_CAMP. REG)'!$F$463:$J$688,5,FALSE)</f>
        <v>405.70905000000005</v>
      </c>
      <c r="AN86" s="124">
        <f>VLOOKUP(UNG[[#This Row],[CURSO]],'[1]POS_EAD_0112 a 3101_CAMP. REG)'!$F$463:$L$688,7,FALSE)</f>
        <v>0.45</v>
      </c>
      <c r="AO86" s="71">
        <f>VLOOKUP(UNG[[#This Row],[CURSO]],'[1]POS_EAD_0112 a 3101_CAMP. REG)'!$F$463:$M$688,8,FALSE)</f>
        <v>200.83</v>
      </c>
      <c r="AP86" s="124">
        <f>VLOOKUP(UNG[[#This Row],[CURSO]],'[1]POS_EAD_0112 a 3101_CAMP. REG)'!$F$463:$P$688,11,FALSE)</f>
        <v>0.5</v>
      </c>
      <c r="AQ86" s="71">
        <f>VLOOKUP(UNG[[#This Row],[CURSO]],'[1]POS_EAD_0112 a 3101_CAMP. REG)'!$F$463:$Q$688,12,FALSE)</f>
        <v>182.57</v>
      </c>
      <c r="AS86" s="121" t="s">
        <v>206</v>
      </c>
      <c r="AT86" s="69" t="s">
        <v>19</v>
      </c>
      <c r="AU86" s="69" t="str">
        <f>VLOOKUP(UNINASSAU[[#This Row],[CURSO]],'[1]POS_EAD_0112 a 3101_CAMP. REG)'!$F$690:$G$915,2,FALSE)</f>
        <v>Saúde</v>
      </c>
      <c r="AV86" s="69">
        <f>VLOOKUP(UNINASSAU[[#This Row],[CURSO]],'[1]POS_EAD_0112 a 3101_CAMP. REG)'!$F$690:$H$915,3,FALSE)</f>
        <v>6</v>
      </c>
      <c r="AW86" s="69">
        <f>VLOOKUP(UNINASSAU[[#This Row],[CURSO]],'[1]POS_EAD_0112 a 3101_CAMP. REG)'!$F$690:$I$915,4,FALSE)</f>
        <v>13</v>
      </c>
      <c r="AX86" s="73">
        <f>VLOOKUP(UNINASSAU[[#This Row],[CURSO]],'[1]POS_EAD_0112 a 3101_CAMP. REG)'!$F$690:$J$915,5,FALSE)</f>
        <v>405.70905000000005</v>
      </c>
      <c r="AY86" s="72">
        <f>VLOOKUP(UNINASSAU[[#This Row],[CURSO]],'[1]POS_EAD_0112 a 3101_CAMP. REG)'!$F$690:$L$915,7,FALSE)</f>
        <v>0.45</v>
      </c>
      <c r="AZ86" s="73">
        <f>VLOOKUP(UNINASSAU[[#This Row],[CURSO]],'[1]POS_EAD_0112 a 3101_CAMP. REG)'!$F$690:$N$915,8,FALSE)</f>
        <v>200.83</v>
      </c>
      <c r="BA86" s="72">
        <f>VLOOKUP(UNINASSAU[[#This Row],[CURSO]],'[1]POS_EAD_0112 a 3101_CAMP. REG)'!$F$690:$P$915,11,FALSE)</f>
        <v>0.5</v>
      </c>
      <c r="BB86" s="73">
        <f>VLOOKUP(UNINASSAU[[#This Row],[CURSO]],'[1]POS_EAD_0112 a 3101_CAMP. REG)'!$F$690:$Q$915,12,FALSE)</f>
        <v>182.57</v>
      </c>
      <c r="BD86" s="104">
        <v>83</v>
      </c>
      <c r="BE86" s="121" t="s">
        <v>206</v>
      </c>
      <c r="BF86" s="69" t="s">
        <v>19</v>
      </c>
    </row>
    <row r="87" spans="12:58" x14ac:dyDescent="0.25">
      <c r="L87" s="121" t="s">
        <v>181</v>
      </c>
      <c r="M87" s="69" t="s">
        <v>19</v>
      </c>
      <c r="N87" s="69" t="str">
        <f>VLOOKUP($L$4,'[1]POS_EAD_0112 a 3101_CAMP. REG)'!$F$5:$G$231,2,FALSE)</f>
        <v>Humanas</v>
      </c>
      <c r="O87" s="69">
        <f>VLOOKUP(L87,'[1]POS_EAD_0112 a 3101_CAMP. REG)'!$F$5:$H$231,3,FALSE)</f>
        <v>6</v>
      </c>
      <c r="P87" s="68">
        <f>VLOOKUP(L87,'[1]POS_EAD_0112 a 3101_CAMP. REG)'!$F$5:$I$231,4,FALSE)</f>
        <v>13</v>
      </c>
      <c r="Q87" s="73">
        <f>VLOOKUP(L87,'[1]POS_EAD_0112 a 3101_CAMP. REG)'!$F$5:$J$231,5,FALSE)</f>
        <v>405.70905000000005</v>
      </c>
      <c r="R87" s="124">
        <f>VLOOKUP(L87,'[1]POS_EAD_0112 a 3101_CAMP. REG)'!$F$5:$L$231,7,FALSE)</f>
        <v>0.45</v>
      </c>
      <c r="S87" s="73">
        <f>VLOOKUP(L87,'[1]POS_EAD_0112 a 3101_CAMP. REG)'!$F$5:$M$231,8,FALSE)</f>
        <v>200.83</v>
      </c>
      <c r="T87" s="124">
        <f>VLOOKUP(L87,'[1]POS_EAD_0112 a 3101_CAMP. REG)'!$F$5:$P$231,11,FALSE)</f>
        <v>0.5</v>
      </c>
      <c r="U87" s="73">
        <f>VLOOKUP(L87,'[1]POS_EAD_0112 a 3101_CAMP. REG)'!$F$5:$Q$231,12,FALSE)</f>
        <v>182.57</v>
      </c>
      <c r="W87" s="121" t="s">
        <v>181</v>
      </c>
      <c r="X87" s="69" t="s">
        <v>19</v>
      </c>
      <c r="Y87" s="69" t="str">
        <f>VLOOKUP(W87,'[1]POS_EAD_0112 a 3101_CAMP. REG)'!$F$231:$G$461,2,FALSE)</f>
        <v>Saúde</v>
      </c>
      <c r="Z87" s="68">
        <f>VLOOKUP(W87,'[1]POS_EAD_0112 a 3101_CAMP. REG)'!$F$231:$H$461,3,FALSE)</f>
        <v>6</v>
      </c>
      <c r="AA87" s="68">
        <f>VLOOKUP(W87,'[1]POS_EAD_0112 a 3101_CAMP. REG)'!$F$231:$I$461,4,FALSE)</f>
        <v>13</v>
      </c>
      <c r="AB87" s="73">
        <f>VLOOKUP(W87,'[1]POS_EAD_0112 a 3101_CAMP. REG)'!$F$231:$J$461,5,FALSE)</f>
        <v>439.79280900000003</v>
      </c>
      <c r="AC87" s="72">
        <f>VLOOKUP(W87,'[1]POS_EAD_0112 a 3101_CAMP. REG)'!$F$231:$L$461,7,FALSE)</f>
        <v>0.45</v>
      </c>
      <c r="AD87" s="73">
        <f>VLOOKUP(W87,'[1]POS_EAD_0112 a 3101_CAMP. REG)'!$F$231:$M$461,8,FALSE)</f>
        <v>217.7</v>
      </c>
      <c r="AE87" s="72">
        <f>VLOOKUP(W87,'[1]POS_EAD_0112 a 3101_CAMP. REG)'!$F$231:$P$461,11,FALSE)</f>
        <v>0.5</v>
      </c>
      <c r="AF87" s="73">
        <f>VLOOKUP(W87,'[1]POS_EAD_0112 a 3101_CAMP. REG)'!$F$231:$Q$461,12,FALSE)</f>
        <v>197.91</v>
      </c>
      <c r="AH87" s="121" t="s">
        <v>181</v>
      </c>
      <c r="AI87" s="69" t="s">
        <v>19</v>
      </c>
      <c r="AJ87" s="68" t="str">
        <f>VLOOKUP(UNG[[#This Row],[CURSO]],'[1]POS_EAD_0112 a 3101_CAMP. REG)'!$F$463:$G$688,2,FALSE)</f>
        <v>Saúde</v>
      </c>
      <c r="AK87" s="68">
        <f>VLOOKUP(UNG[[#This Row],[CURSO]],'[1]POS_EAD_0112 a 3101_CAMP. REG)'!$F$463:$H$688,3,FALSE)</f>
        <v>6</v>
      </c>
      <c r="AL87" s="68">
        <f>VLOOKUP(UNG[[#This Row],[CURSO]],'[1]POS_EAD_0112 a 3101_CAMP. REG)'!$F$463:$I$688,4,FALSE)</f>
        <v>13</v>
      </c>
      <c r="AM87" s="71">
        <f>VLOOKUP(UNG[[#This Row],[CURSO]],'[1]POS_EAD_0112 a 3101_CAMP. REG)'!$F$463:$J$688,5,FALSE)</f>
        <v>405.70905000000005</v>
      </c>
      <c r="AN87" s="124">
        <f>VLOOKUP(UNG[[#This Row],[CURSO]],'[1]POS_EAD_0112 a 3101_CAMP. REG)'!$F$463:$L$688,7,FALSE)</f>
        <v>0.45</v>
      </c>
      <c r="AO87" s="71">
        <f>VLOOKUP(UNG[[#This Row],[CURSO]],'[1]POS_EAD_0112 a 3101_CAMP. REG)'!$F$463:$M$688,8,FALSE)</f>
        <v>200.83</v>
      </c>
      <c r="AP87" s="124">
        <f>VLOOKUP(UNG[[#This Row],[CURSO]],'[1]POS_EAD_0112 a 3101_CAMP. REG)'!$F$463:$P$688,11,FALSE)</f>
        <v>0.5</v>
      </c>
      <c r="AQ87" s="71">
        <f>VLOOKUP(UNG[[#This Row],[CURSO]],'[1]POS_EAD_0112 a 3101_CAMP. REG)'!$F$463:$Q$688,12,FALSE)</f>
        <v>182.57</v>
      </c>
      <c r="AS87" s="121" t="s">
        <v>181</v>
      </c>
      <c r="AT87" s="69" t="s">
        <v>19</v>
      </c>
      <c r="AU87" s="69" t="str">
        <f>VLOOKUP(UNINASSAU[[#This Row],[CURSO]],'[1]POS_EAD_0112 a 3101_CAMP. REG)'!$F$690:$G$915,2,FALSE)</f>
        <v>Saúde</v>
      </c>
      <c r="AV87" s="69">
        <f>VLOOKUP(UNINASSAU[[#This Row],[CURSO]],'[1]POS_EAD_0112 a 3101_CAMP. REG)'!$F$690:$H$915,3,FALSE)</f>
        <v>6</v>
      </c>
      <c r="AW87" s="69">
        <f>VLOOKUP(UNINASSAU[[#This Row],[CURSO]],'[1]POS_EAD_0112 a 3101_CAMP. REG)'!$F$690:$I$915,4,FALSE)</f>
        <v>13</v>
      </c>
      <c r="AX87" s="73">
        <f>VLOOKUP(UNINASSAU[[#This Row],[CURSO]],'[1]POS_EAD_0112 a 3101_CAMP. REG)'!$F$690:$J$915,5,FALSE)</f>
        <v>405.70905000000005</v>
      </c>
      <c r="AY87" s="72">
        <f>VLOOKUP(UNINASSAU[[#This Row],[CURSO]],'[1]POS_EAD_0112 a 3101_CAMP. REG)'!$F$690:$L$915,7,FALSE)</f>
        <v>0.45</v>
      </c>
      <c r="AZ87" s="73">
        <f>VLOOKUP(UNINASSAU[[#This Row],[CURSO]],'[1]POS_EAD_0112 a 3101_CAMP. REG)'!$F$690:$N$915,8,FALSE)</f>
        <v>200.83</v>
      </c>
      <c r="BA87" s="72">
        <f>VLOOKUP(UNINASSAU[[#This Row],[CURSO]],'[1]POS_EAD_0112 a 3101_CAMP. REG)'!$F$690:$P$915,11,FALSE)</f>
        <v>0.5</v>
      </c>
      <c r="BB87" s="73">
        <f>VLOOKUP(UNINASSAU[[#This Row],[CURSO]],'[1]POS_EAD_0112 a 3101_CAMP. REG)'!$F$690:$Q$915,12,FALSE)</f>
        <v>182.57</v>
      </c>
      <c r="BD87" s="104">
        <v>84</v>
      </c>
      <c r="BE87" s="121" t="s">
        <v>181</v>
      </c>
      <c r="BF87" s="69" t="s">
        <v>19</v>
      </c>
    </row>
    <row r="88" spans="12:58" x14ac:dyDescent="0.25">
      <c r="L88" s="121" t="s">
        <v>118</v>
      </c>
      <c r="M88" s="69" t="s">
        <v>19</v>
      </c>
      <c r="N88" s="69" t="str">
        <f>VLOOKUP($L$4,'[1]POS_EAD_0112 a 3101_CAMP. REG)'!$F$5:$G$231,2,FALSE)</f>
        <v>Humanas</v>
      </c>
      <c r="O88" s="69">
        <f>VLOOKUP(L88,'[1]POS_EAD_0112 a 3101_CAMP. REG)'!$F$5:$H$231,3,FALSE)</f>
        <v>12</v>
      </c>
      <c r="P88" s="68">
        <f>VLOOKUP(L88,'[1]POS_EAD_0112 a 3101_CAMP. REG)'!$F$5:$I$231,4,FALSE)</f>
        <v>19</v>
      </c>
      <c r="Q88" s="73">
        <f>VLOOKUP(L88,'[1]POS_EAD_0112 a 3101_CAMP. REG)'!$F$5:$J$231,5,FALSE)</f>
        <v>277.58266800000001</v>
      </c>
      <c r="R88" s="124">
        <f>VLOOKUP(L88,'[1]POS_EAD_0112 a 3101_CAMP. REG)'!$F$5:$L$231,7,FALSE)</f>
        <v>0.45</v>
      </c>
      <c r="S88" s="73">
        <f>VLOOKUP(L88,'[1]POS_EAD_0112 a 3101_CAMP. REG)'!$F$5:$M$231,8,FALSE)</f>
        <v>137.4</v>
      </c>
      <c r="T88" s="124">
        <f>VLOOKUP(L88,'[1]POS_EAD_0112 a 3101_CAMP. REG)'!$F$5:$P$231,11,FALSE)</f>
        <v>0.5</v>
      </c>
      <c r="U88" s="73">
        <f>VLOOKUP(L88,'[1]POS_EAD_0112 a 3101_CAMP. REG)'!$F$5:$Q$231,12,FALSE)</f>
        <v>124.91</v>
      </c>
      <c r="W88" s="121" t="s">
        <v>118</v>
      </c>
      <c r="X88" s="69" t="s">
        <v>19</v>
      </c>
      <c r="Y88" s="69" t="str">
        <f>VLOOKUP(W88,'[1]POS_EAD_0112 a 3101_CAMP. REG)'!$F$231:$G$461,2,FALSE)</f>
        <v>Exatas</v>
      </c>
      <c r="Z88" s="68">
        <f>VLOOKUP(W88,'[1]POS_EAD_0112 a 3101_CAMP. REG)'!$F$231:$H$461,3,FALSE)</f>
        <v>12</v>
      </c>
      <c r="AA88" s="68">
        <f>VLOOKUP(W88,'[1]POS_EAD_0112 a 3101_CAMP. REG)'!$F$231:$I$461,4,FALSE)</f>
        <v>19</v>
      </c>
      <c r="AB88" s="73">
        <f>VLOOKUP(W88,'[1]POS_EAD_0112 a 3101_CAMP. REG)'!$F$231:$J$461,5,FALSE)</f>
        <v>300.91749900000002</v>
      </c>
      <c r="AC88" s="72">
        <f>VLOOKUP(W88,'[1]POS_EAD_0112 a 3101_CAMP. REG)'!$F$231:$L$461,7,FALSE)</f>
        <v>0.45</v>
      </c>
      <c r="AD88" s="73">
        <f>VLOOKUP(W88,'[1]POS_EAD_0112 a 3101_CAMP. REG)'!$F$231:$M$461,8,FALSE)</f>
        <v>148.94999999999999</v>
      </c>
      <c r="AE88" s="72">
        <f>VLOOKUP(W88,'[1]POS_EAD_0112 a 3101_CAMP. REG)'!$F$231:$P$461,11,FALSE)</f>
        <v>0.5</v>
      </c>
      <c r="AF88" s="73">
        <f>VLOOKUP(W88,'[1]POS_EAD_0112 a 3101_CAMP. REG)'!$F$231:$Q$461,12,FALSE)</f>
        <v>135.41</v>
      </c>
      <c r="AH88" s="121" t="s">
        <v>118</v>
      </c>
      <c r="AI88" s="69" t="s">
        <v>19</v>
      </c>
      <c r="AJ88" s="68" t="str">
        <f>VLOOKUP(UNG[[#This Row],[CURSO]],'[1]POS_EAD_0112 a 3101_CAMP. REG)'!$F$463:$G$688,2,FALSE)</f>
        <v>Exatas</v>
      </c>
      <c r="AK88" s="68">
        <f>VLOOKUP(UNG[[#This Row],[CURSO]],'[1]POS_EAD_0112 a 3101_CAMP. REG)'!$F$463:$H$688,3,FALSE)</f>
        <v>12</v>
      </c>
      <c r="AL88" s="68">
        <f>VLOOKUP(UNG[[#This Row],[CURSO]],'[1]POS_EAD_0112 a 3101_CAMP. REG)'!$F$463:$I$688,4,FALSE)</f>
        <v>19</v>
      </c>
      <c r="AM88" s="71">
        <f>VLOOKUP(UNG[[#This Row],[CURSO]],'[1]POS_EAD_0112 a 3101_CAMP. REG)'!$F$463:$J$688,5,FALSE)</f>
        <v>277.58266800000001</v>
      </c>
      <c r="AN88" s="124">
        <f>VLOOKUP(UNG[[#This Row],[CURSO]],'[1]POS_EAD_0112 a 3101_CAMP. REG)'!$F$463:$L$688,7,FALSE)</f>
        <v>0.45</v>
      </c>
      <c r="AO88" s="71">
        <f>VLOOKUP(UNG[[#This Row],[CURSO]],'[1]POS_EAD_0112 a 3101_CAMP. REG)'!$F$463:$M$688,8,FALSE)</f>
        <v>137.4</v>
      </c>
      <c r="AP88" s="124">
        <f>VLOOKUP(UNG[[#This Row],[CURSO]],'[1]POS_EAD_0112 a 3101_CAMP. REG)'!$F$463:$P$688,11,FALSE)</f>
        <v>0.5</v>
      </c>
      <c r="AQ88" s="71">
        <f>VLOOKUP(UNG[[#This Row],[CURSO]],'[1]POS_EAD_0112 a 3101_CAMP. REG)'!$F$463:$Q$688,12,FALSE)</f>
        <v>124.91</v>
      </c>
      <c r="AS88" s="121" t="s">
        <v>118</v>
      </c>
      <c r="AT88" s="69" t="s">
        <v>19</v>
      </c>
      <c r="AU88" s="69" t="str">
        <f>VLOOKUP(UNINASSAU[[#This Row],[CURSO]],'[1]POS_EAD_0112 a 3101_CAMP. REG)'!$F$690:$G$915,2,FALSE)</f>
        <v>Exatas</v>
      </c>
      <c r="AV88" s="69">
        <f>VLOOKUP(UNINASSAU[[#This Row],[CURSO]],'[1]POS_EAD_0112 a 3101_CAMP. REG)'!$F$690:$H$915,3,FALSE)</f>
        <v>12</v>
      </c>
      <c r="AW88" s="69">
        <f>VLOOKUP(UNINASSAU[[#This Row],[CURSO]],'[1]POS_EAD_0112 a 3101_CAMP. REG)'!$F$690:$I$915,4,FALSE)</f>
        <v>19</v>
      </c>
      <c r="AX88" s="73">
        <f>VLOOKUP(UNINASSAU[[#This Row],[CURSO]],'[1]POS_EAD_0112 a 3101_CAMP. REG)'!$F$690:$J$915,5,FALSE)</f>
        <v>277.58266800000001</v>
      </c>
      <c r="AY88" s="72">
        <f>VLOOKUP(UNINASSAU[[#This Row],[CURSO]],'[1]POS_EAD_0112 a 3101_CAMP. REG)'!$F$690:$L$915,7,FALSE)</f>
        <v>0.45</v>
      </c>
      <c r="AZ88" s="73">
        <f>VLOOKUP(UNINASSAU[[#This Row],[CURSO]],'[1]POS_EAD_0112 a 3101_CAMP. REG)'!$F$690:$N$915,8,FALSE)</f>
        <v>137.4</v>
      </c>
      <c r="BA88" s="72">
        <f>VLOOKUP(UNINASSAU[[#This Row],[CURSO]],'[1]POS_EAD_0112 a 3101_CAMP. REG)'!$F$690:$P$915,11,FALSE)</f>
        <v>0.5</v>
      </c>
      <c r="BB88" s="73">
        <f>VLOOKUP(UNINASSAU[[#This Row],[CURSO]],'[1]POS_EAD_0112 a 3101_CAMP. REG)'!$F$690:$Q$915,12,FALSE)</f>
        <v>124.91</v>
      </c>
      <c r="BD88" s="104">
        <v>85</v>
      </c>
      <c r="BE88" s="121" t="s">
        <v>118</v>
      </c>
      <c r="BF88" s="69" t="s">
        <v>19</v>
      </c>
    </row>
    <row r="89" spans="12:58" x14ac:dyDescent="0.25">
      <c r="L89" s="121" t="s">
        <v>197</v>
      </c>
      <c r="M89" s="69" t="s">
        <v>19</v>
      </c>
      <c r="N89" s="69" t="str">
        <f>VLOOKUP($L$4,'[1]POS_EAD_0112 a 3101_CAMP. REG)'!$F$5:$G$231,2,FALSE)</f>
        <v>Humanas</v>
      </c>
      <c r="O89" s="69">
        <f>VLOOKUP(L89,'[1]POS_EAD_0112 a 3101_CAMP. REG)'!$F$5:$H$231,3,FALSE)</f>
        <v>12</v>
      </c>
      <c r="P89" s="68">
        <f>VLOOKUP(L89,'[1]POS_EAD_0112 a 3101_CAMP. REG)'!$F$5:$I$231,4,FALSE)</f>
        <v>19</v>
      </c>
      <c r="Q89" s="73">
        <f>VLOOKUP(L89,'[1]POS_EAD_0112 a 3101_CAMP. REG)'!$F$5:$J$231,5,FALSE)</f>
        <v>277.58266800000001</v>
      </c>
      <c r="R89" s="124">
        <f>VLOOKUP(L89,'[1]POS_EAD_0112 a 3101_CAMP. REG)'!$F$5:$L$231,7,FALSE)</f>
        <v>0.45</v>
      </c>
      <c r="S89" s="73">
        <f>VLOOKUP(L89,'[1]POS_EAD_0112 a 3101_CAMP. REG)'!$F$5:$M$231,8,FALSE)</f>
        <v>137.4</v>
      </c>
      <c r="T89" s="124">
        <f>VLOOKUP(L89,'[1]POS_EAD_0112 a 3101_CAMP. REG)'!$F$5:$P$231,11,FALSE)</f>
        <v>0.5</v>
      </c>
      <c r="U89" s="73">
        <f>VLOOKUP(L89,'[1]POS_EAD_0112 a 3101_CAMP. REG)'!$F$5:$Q$231,12,FALSE)</f>
        <v>124.91</v>
      </c>
      <c r="W89" s="121" t="s">
        <v>197</v>
      </c>
      <c r="X89" s="69" t="s">
        <v>19</v>
      </c>
      <c r="Y89" s="69" t="str">
        <f>VLOOKUP(W89,'[1]POS_EAD_0112 a 3101_CAMP. REG)'!$F$231:$G$461,2,FALSE)</f>
        <v>Exatas</v>
      </c>
      <c r="Z89" s="68">
        <f>VLOOKUP(W89,'[1]POS_EAD_0112 a 3101_CAMP. REG)'!$F$231:$H$461,3,FALSE)</f>
        <v>12</v>
      </c>
      <c r="AA89" s="68">
        <f>VLOOKUP(W89,'[1]POS_EAD_0112 a 3101_CAMP. REG)'!$F$231:$I$461,4,FALSE)</f>
        <v>19</v>
      </c>
      <c r="AB89" s="73">
        <f>VLOOKUP(W89,'[1]POS_EAD_0112 a 3101_CAMP. REG)'!$F$231:$J$461,5,FALSE)</f>
        <v>300.91749900000002</v>
      </c>
      <c r="AC89" s="72">
        <f>VLOOKUP(W89,'[1]POS_EAD_0112 a 3101_CAMP. REG)'!$F$231:$L$461,7,FALSE)</f>
        <v>0.45</v>
      </c>
      <c r="AD89" s="73">
        <f>VLOOKUP(W89,'[1]POS_EAD_0112 a 3101_CAMP. REG)'!$F$231:$M$461,8,FALSE)</f>
        <v>148.94999999999999</v>
      </c>
      <c r="AE89" s="72">
        <f>VLOOKUP(W89,'[1]POS_EAD_0112 a 3101_CAMP. REG)'!$F$231:$P$461,11,FALSE)</f>
        <v>0.5</v>
      </c>
      <c r="AF89" s="73">
        <f>VLOOKUP(W89,'[1]POS_EAD_0112 a 3101_CAMP. REG)'!$F$231:$Q$461,12,FALSE)</f>
        <v>135.41</v>
      </c>
      <c r="AH89" s="121" t="s">
        <v>197</v>
      </c>
      <c r="AI89" s="69" t="s">
        <v>19</v>
      </c>
      <c r="AJ89" s="68" t="str">
        <f>VLOOKUP(UNG[[#This Row],[CURSO]],'[1]POS_EAD_0112 a 3101_CAMP. REG)'!$F$463:$G$688,2,FALSE)</f>
        <v>Exatas</v>
      </c>
      <c r="AK89" s="68">
        <f>VLOOKUP(UNG[[#This Row],[CURSO]],'[1]POS_EAD_0112 a 3101_CAMP. REG)'!$F$463:$H$688,3,FALSE)</f>
        <v>12</v>
      </c>
      <c r="AL89" s="68">
        <f>VLOOKUP(UNG[[#This Row],[CURSO]],'[1]POS_EAD_0112 a 3101_CAMP. REG)'!$F$463:$I$688,4,FALSE)</f>
        <v>19</v>
      </c>
      <c r="AM89" s="71">
        <f>VLOOKUP(UNG[[#This Row],[CURSO]],'[1]POS_EAD_0112 a 3101_CAMP. REG)'!$F$463:$J$688,5,FALSE)</f>
        <v>277.58266800000001</v>
      </c>
      <c r="AN89" s="124">
        <f>VLOOKUP(UNG[[#This Row],[CURSO]],'[1]POS_EAD_0112 a 3101_CAMP. REG)'!$F$463:$L$688,7,FALSE)</f>
        <v>0.45</v>
      </c>
      <c r="AO89" s="71">
        <f>VLOOKUP(UNG[[#This Row],[CURSO]],'[1]POS_EAD_0112 a 3101_CAMP. REG)'!$F$463:$M$688,8,FALSE)</f>
        <v>137.4</v>
      </c>
      <c r="AP89" s="124">
        <f>VLOOKUP(UNG[[#This Row],[CURSO]],'[1]POS_EAD_0112 a 3101_CAMP. REG)'!$F$463:$P$688,11,FALSE)</f>
        <v>0.5</v>
      </c>
      <c r="AQ89" s="71">
        <f>VLOOKUP(UNG[[#This Row],[CURSO]],'[1]POS_EAD_0112 a 3101_CAMP. REG)'!$F$463:$Q$688,12,FALSE)</f>
        <v>124.91</v>
      </c>
      <c r="AS89" s="121" t="s">
        <v>197</v>
      </c>
      <c r="AT89" s="69" t="s">
        <v>19</v>
      </c>
      <c r="AU89" s="69" t="str">
        <f>VLOOKUP(UNINASSAU[[#This Row],[CURSO]],'[1]POS_EAD_0112 a 3101_CAMP. REG)'!$F$690:$G$915,2,FALSE)</f>
        <v>Exatas</v>
      </c>
      <c r="AV89" s="69">
        <f>VLOOKUP(UNINASSAU[[#This Row],[CURSO]],'[1]POS_EAD_0112 a 3101_CAMP. REG)'!$F$690:$H$915,3,FALSE)</f>
        <v>12</v>
      </c>
      <c r="AW89" s="69">
        <f>VLOOKUP(UNINASSAU[[#This Row],[CURSO]],'[1]POS_EAD_0112 a 3101_CAMP. REG)'!$F$690:$I$915,4,FALSE)</f>
        <v>19</v>
      </c>
      <c r="AX89" s="73">
        <f>VLOOKUP(UNINASSAU[[#This Row],[CURSO]],'[1]POS_EAD_0112 a 3101_CAMP. REG)'!$F$690:$J$915,5,FALSE)</f>
        <v>277.58266800000001</v>
      </c>
      <c r="AY89" s="72">
        <f>VLOOKUP(UNINASSAU[[#This Row],[CURSO]],'[1]POS_EAD_0112 a 3101_CAMP. REG)'!$F$690:$L$915,7,FALSE)</f>
        <v>0.45</v>
      </c>
      <c r="AZ89" s="73">
        <f>VLOOKUP(UNINASSAU[[#This Row],[CURSO]],'[1]POS_EAD_0112 a 3101_CAMP. REG)'!$F$690:$N$915,8,FALSE)</f>
        <v>137.4</v>
      </c>
      <c r="BA89" s="72">
        <f>VLOOKUP(UNINASSAU[[#This Row],[CURSO]],'[1]POS_EAD_0112 a 3101_CAMP. REG)'!$F$690:$P$915,11,FALSE)</f>
        <v>0.5</v>
      </c>
      <c r="BB89" s="73">
        <f>VLOOKUP(UNINASSAU[[#This Row],[CURSO]],'[1]POS_EAD_0112 a 3101_CAMP. REG)'!$F$690:$Q$915,12,FALSE)</f>
        <v>124.91</v>
      </c>
      <c r="BD89" s="104">
        <v>86</v>
      </c>
      <c r="BE89" s="121" t="s">
        <v>197</v>
      </c>
      <c r="BF89" s="69" t="s">
        <v>19</v>
      </c>
    </row>
    <row r="90" spans="12:58" x14ac:dyDescent="0.25">
      <c r="L90" s="121" t="s">
        <v>219</v>
      </c>
      <c r="M90" s="69" t="s">
        <v>19</v>
      </c>
      <c r="N90" s="69" t="str">
        <f>VLOOKUP($L$4,'[1]POS_EAD_0112 a 3101_CAMP. REG)'!$F$5:$G$231,2,FALSE)</f>
        <v>Humanas</v>
      </c>
      <c r="O90" s="69">
        <f>VLOOKUP(L90,'[1]POS_EAD_0112 a 3101_CAMP. REG)'!$F$5:$H$231,3,FALSE)</f>
        <v>12</v>
      </c>
      <c r="P90" s="68">
        <f>VLOOKUP(L90,'[1]POS_EAD_0112 a 3101_CAMP. REG)'!$F$5:$I$231,4,FALSE)</f>
        <v>19</v>
      </c>
      <c r="Q90" s="73">
        <f>VLOOKUP(L90,'[1]POS_EAD_0112 a 3101_CAMP. REG)'!$F$5:$J$231,5,FALSE)</f>
        <v>277.58266800000001</v>
      </c>
      <c r="R90" s="124">
        <f>VLOOKUP(L90,'[1]POS_EAD_0112 a 3101_CAMP. REG)'!$F$5:$L$231,7,FALSE)</f>
        <v>0.45</v>
      </c>
      <c r="S90" s="73">
        <f>VLOOKUP(L90,'[1]POS_EAD_0112 a 3101_CAMP. REG)'!$F$5:$M$231,8,FALSE)</f>
        <v>137.4</v>
      </c>
      <c r="T90" s="124">
        <f>VLOOKUP(L90,'[1]POS_EAD_0112 a 3101_CAMP. REG)'!$F$5:$P$231,11,FALSE)</f>
        <v>0.5</v>
      </c>
      <c r="U90" s="73">
        <f>VLOOKUP(L90,'[1]POS_EAD_0112 a 3101_CAMP. REG)'!$F$5:$Q$231,12,FALSE)</f>
        <v>124.91</v>
      </c>
      <c r="W90" s="121" t="s">
        <v>219</v>
      </c>
      <c r="X90" s="69" t="s">
        <v>19</v>
      </c>
      <c r="Y90" s="69" t="str">
        <f>VLOOKUP(W90,'[1]POS_EAD_0112 a 3101_CAMP. REG)'!$F$231:$G$461,2,FALSE)</f>
        <v>Exatas</v>
      </c>
      <c r="Z90" s="68">
        <f>VLOOKUP(W90,'[1]POS_EAD_0112 a 3101_CAMP. REG)'!$F$231:$H$461,3,FALSE)</f>
        <v>12</v>
      </c>
      <c r="AA90" s="68">
        <f>VLOOKUP(W90,'[1]POS_EAD_0112 a 3101_CAMP. REG)'!$F$231:$I$461,4,FALSE)</f>
        <v>19</v>
      </c>
      <c r="AB90" s="73">
        <f>VLOOKUP(W90,'[1]POS_EAD_0112 a 3101_CAMP. REG)'!$F$231:$J$461,5,FALSE)</f>
        <v>300.91749900000002</v>
      </c>
      <c r="AC90" s="72">
        <f>VLOOKUP(W90,'[1]POS_EAD_0112 a 3101_CAMP. REG)'!$F$231:$L$461,7,FALSE)</f>
        <v>0.45</v>
      </c>
      <c r="AD90" s="73">
        <f>VLOOKUP(W90,'[1]POS_EAD_0112 a 3101_CAMP. REG)'!$F$231:$M$461,8,FALSE)</f>
        <v>148.94999999999999</v>
      </c>
      <c r="AE90" s="72">
        <f>VLOOKUP(W90,'[1]POS_EAD_0112 a 3101_CAMP. REG)'!$F$231:$P$461,11,FALSE)</f>
        <v>0.5</v>
      </c>
      <c r="AF90" s="73">
        <f>VLOOKUP(W90,'[1]POS_EAD_0112 a 3101_CAMP. REG)'!$F$231:$Q$461,12,FALSE)</f>
        <v>135.41</v>
      </c>
      <c r="AH90" s="121" t="s">
        <v>219</v>
      </c>
      <c r="AI90" s="69" t="s">
        <v>19</v>
      </c>
      <c r="AJ90" s="68" t="str">
        <f>VLOOKUP(UNG[[#This Row],[CURSO]],'[1]POS_EAD_0112 a 3101_CAMP. REG)'!$F$463:$G$688,2,FALSE)</f>
        <v>Exatas</v>
      </c>
      <c r="AK90" s="68">
        <f>VLOOKUP(UNG[[#This Row],[CURSO]],'[1]POS_EAD_0112 a 3101_CAMP. REG)'!$F$463:$H$688,3,FALSE)</f>
        <v>12</v>
      </c>
      <c r="AL90" s="68">
        <f>VLOOKUP(UNG[[#This Row],[CURSO]],'[1]POS_EAD_0112 a 3101_CAMP. REG)'!$F$463:$I$688,4,FALSE)</f>
        <v>19</v>
      </c>
      <c r="AM90" s="71">
        <f>VLOOKUP(UNG[[#This Row],[CURSO]],'[1]POS_EAD_0112 a 3101_CAMP. REG)'!$F$463:$J$688,5,FALSE)</f>
        <v>277.58266800000001</v>
      </c>
      <c r="AN90" s="124">
        <f>VLOOKUP(UNG[[#This Row],[CURSO]],'[1]POS_EAD_0112 a 3101_CAMP. REG)'!$F$463:$L$688,7,FALSE)</f>
        <v>0.45</v>
      </c>
      <c r="AO90" s="71">
        <f>VLOOKUP(UNG[[#This Row],[CURSO]],'[1]POS_EAD_0112 a 3101_CAMP. REG)'!$F$463:$M$688,8,FALSE)</f>
        <v>137.4</v>
      </c>
      <c r="AP90" s="124">
        <f>VLOOKUP(UNG[[#This Row],[CURSO]],'[1]POS_EAD_0112 a 3101_CAMP. REG)'!$F$463:$P$688,11,FALSE)</f>
        <v>0.5</v>
      </c>
      <c r="AQ90" s="71">
        <f>VLOOKUP(UNG[[#This Row],[CURSO]],'[1]POS_EAD_0112 a 3101_CAMP. REG)'!$F$463:$Q$688,12,FALSE)</f>
        <v>124.91</v>
      </c>
      <c r="AS90" s="121" t="s">
        <v>219</v>
      </c>
      <c r="AT90" s="69" t="s">
        <v>19</v>
      </c>
      <c r="AU90" s="69" t="str">
        <f>VLOOKUP(UNINASSAU[[#This Row],[CURSO]],'[1]POS_EAD_0112 a 3101_CAMP. REG)'!$F$690:$G$915,2,FALSE)</f>
        <v>Exatas</v>
      </c>
      <c r="AV90" s="69">
        <f>VLOOKUP(UNINASSAU[[#This Row],[CURSO]],'[1]POS_EAD_0112 a 3101_CAMP. REG)'!$F$690:$H$915,3,FALSE)</f>
        <v>12</v>
      </c>
      <c r="AW90" s="69">
        <f>VLOOKUP(UNINASSAU[[#This Row],[CURSO]],'[1]POS_EAD_0112 a 3101_CAMP. REG)'!$F$690:$I$915,4,FALSE)</f>
        <v>19</v>
      </c>
      <c r="AX90" s="73">
        <f>VLOOKUP(UNINASSAU[[#This Row],[CURSO]],'[1]POS_EAD_0112 a 3101_CAMP. REG)'!$F$690:$J$915,5,FALSE)</f>
        <v>277.58266800000001</v>
      </c>
      <c r="AY90" s="72">
        <f>VLOOKUP(UNINASSAU[[#This Row],[CURSO]],'[1]POS_EAD_0112 a 3101_CAMP. REG)'!$F$690:$L$915,7,FALSE)</f>
        <v>0.45</v>
      </c>
      <c r="AZ90" s="73">
        <f>VLOOKUP(UNINASSAU[[#This Row],[CURSO]],'[1]POS_EAD_0112 a 3101_CAMP. REG)'!$F$690:$N$915,8,FALSE)</f>
        <v>137.4</v>
      </c>
      <c r="BA90" s="72">
        <f>VLOOKUP(UNINASSAU[[#This Row],[CURSO]],'[1]POS_EAD_0112 a 3101_CAMP. REG)'!$F$690:$P$915,11,FALSE)</f>
        <v>0.5</v>
      </c>
      <c r="BB90" s="73">
        <f>VLOOKUP(UNINASSAU[[#This Row],[CURSO]],'[1]POS_EAD_0112 a 3101_CAMP. REG)'!$F$690:$Q$915,12,FALSE)</f>
        <v>124.91</v>
      </c>
      <c r="BD90" s="104">
        <v>87</v>
      </c>
      <c r="BE90" s="121" t="s">
        <v>219</v>
      </c>
      <c r="BF90" s="69" t="s">
        <v>19</v>
      </c>
    </row>
    <row r="91" spans="12:58" x14ac:dyDescent="0.25">
      <c r="L91" s="121" t="s">
        <v>252</v>
      </c>
      <c r="M91" s="69" t="s">
        <v>19</v>
      </c>
      <c r="N91" s="69" t="str">
        <f>VLOOKUP($L$4,'[1]POS_EAD_0112 a 3101_CAMP. REG)'!$F$5:$G$231,2,FALSE)</f>
        <v>Humanas</v>
      </c>
      <c r="O91" s="69">
        <f>VLOOKUP(L91,'[1]POS_EAD_0112 a 3101_CAMP. REG)'!$F$5:$H$231,3,FALSE)</f>
        <v>12</v>
      </c>
      <c r="P91" s="68">
        <f>VLOOKUP(L91,'[1]POS_EAD_0112 a 3101_CAMP. REG)'!$F$5:$I$231,4,FALSE)</f>
        <v>19</v>
      </c>
      <c r="Q91" s="73">
        <f>VLOOKUP(L91,'[1]POS_EAD_0112 a 3101_CAMP. REG)'!$F$5:$J$231,5,FALSE)</f>
        <v>277.58266800000001</v>
      </c>
      <c r="R91" s="124">
        <f>VLOOKUP(L91,'[1]POS_EAD_0112 a 3101_CAMP. REG)'!$F$5:$L$231,7,FALSE)</f>
        <v>0.45</v>
      </c>
      <c r="S91" s="73">
        <f>VLOOKUP(L91,'[1]POS_EAD_0112 a 3101_CAMP. REG)'!$F$5:$M$231,8,FALSE)</f>
        <v>137.4</v>
      </c>
      <c r="T91" s="124">
        <f>VLOOKUP(L91,'[1]POS_EAD_0112 a 3101_CAMP. REG)'!$F$5:$P$231,11,FALSE)</f>
        <v>0.5</v>
      </c>
      <c r="U91" s="73">
        <f>VLOOKUP(L91,'[1]POS_EAD_0112 a 3101_CAMP. REG)'!$F$5:$Q$231,12,FALSE)</f>
        <v>124.91</v>
      </c>
      <c r="W91" s="121" t="s">
        <v>252</v>
      </c>
      <c r="X91" s="69" t="s">
        <v>19</v>
      </c>
      <c r="Y91" s="69" t="str">
        <f>VLOOKUP(W91,'[1]POS_EAD_0112 a 3101_CAMP. REG)'!$F$231:$G$461,2,FALSE)</f>
        <v>Saúde</v>
      </c>
      <c r="Z91" s="68">
        <f>VLOOKUP(W91,'[1]POS_EAD_0112 a 3101_CAMP. REG)'!$F$231:$H$461,3,FALSE)</f>
        <v>12</v>
      </c>
      <c r="AA91" s="68">
        <f>VLOOKUP(W91,'[1]POS_EAD_0112 a 3101_CAMP. REG)'!$F$231:$I$461,4,FALSE)</f>
        <v>19</v>
      </c>
      <c r="AB91" s="73">
        <f>VLOOKUP(W91,'[1]POS_EAD_0112 a 3101_CAMP. REG)'!$F$231:$J$461,5,FALSE)</f>
        <v>300.91749900000002</v>
      </c>
      <c r="AC91" s="72">
        <f>VLOOKUP(W91,'[1]POS_EAD_0112 a 3101_CAMP. REG)'!$F$231:$L$461,7,FALSE)</f>
        <v>0.45</v>
      </c>
      <c r="AD91" s="73">
        <f>VLOOKUP(W91,'[1]POS_EAD_0112 a 3101_CAMP. REG)'!$F$231:$M$461,8,FALSE)</f>
        <v>148.94999999999999</v>
      </c>
      <c r="AE91" s="72">
        <f>VLOOKUP(W91,'[1]POS_EAD_0112 a 3101_CAMP. REG)'!$F$231:$P$461,11,FALSE)</f>
        <v>0.5</v>
      </c>
      <c r="AF91" s="73">
        <f>VLOOKUP(W91,'[1]POS_EAD_0112 a 3101_CAMP. REG)'!$F$231:$Q$461,12,FALSE)</f>
        <v>135.41</v>
      </c>
      <c r="AH91" s="121" t="s">
        <v>252</v>
      </c>
      <c r="AI91" s="69" t="s">
        <v>19</v>
      </c>
      <c r="AJ91" s="68" t="str">
        <f>VLOOKUP(UNG[[#This Row],[CURSO]],'[1]POS_EAD_0112 a 3101_CAMP. REG)'!$F$463:$G$688,2,FALSE)</f>
        <v>Saúde</v>
      </c>
      <c r="AK91" s="68">
        <f>VLOOKUP(UNG[[#This Row],[CURSO]],'[1]POS_EAD_0112 a 3101_CAMP. REG)'!$F$463:$H$688,3,FALSE)</f>
        <v>12</v>
      </c>
      <c r="AL91" s="68">
        <f>VLOOKUP(UNG[[#This Row],[CURSO]],'[1]POS_EAD_0112 a 3101_CAMP. REG)'!$F$463:$I$688,4,FALSE)</f>
        <v>19</v>
      </c>
      <c r="AM91" s="71">
        <f>VLOOKUP(UNG[[#This Row],[CURSO]],'[1]POS_EAD_0112 a 3101_CAMP. REG)'!$F$463:$J$688,5,FALSE)</f>
        <v>277.58266800000001</v>
      </c>
      <c r="AN91" s="124">
        <f>VLOOKUP(UNG[[#This Row],[CURSO]],'[1]POS_EAD_0112 a 3101_CAMP. REG)'!$F$463:$L$688,7,FALSE)</f>
        <v>0.45</v>
      </c>
      <c r="AO91" s="71">
        <f>VLOOKUP(UNG[[#This Row],[CURSO]],'[1]POS_EAD_0112 a 3101_CAMP. REG)'!$F$463:$M$688,8,FALSE)</f>
        <v>137.4</v>
      </c>
      <c r="AP91" s="124">
        <f>VLOOKUP(UNG[[#This Row],[CURSO]],'[1]POS_EAD_0112 a 3101_CAMP. REG)'!$F$463:$P$688,11,FALSE)</f>
        <v>0.5</v>
      </c>
      <c r="AQ91" s="71">
        <f>VLOOKUP(UNG[[#This Row],[CURSO]],'[1]POS_EAD_0112 a 3101_CAMP. REG)'!$F$463:$Q$688,12,FALSE)</f>
        <v>124.91</v>
      </c>
      <c r="AS91" s="121" t="s">
        <v>252</v>
      </c>
      <c r="AT91" s="69" t="s">
        <v>19</v>
      </c>
      <c r="AU91" s="69" t="str">
        <f>VLOOKUP(UNINASSAU[[#This Row],[CURSO]],'[1]POS_EAD_0112 a 3101_CAMP. REG)'!$F$690:$G$915,2,FALSE)</f>
        <v>Saúde</v>
      </c>
      <c r="AV91" s="69">
        <f>VLOOKUP(UNINASSAU[[#This Row],[CURSO]],'[1]POS_EAD_0112 a 3101_CAMP. REG)'!$F$690:$H$915,3,FALSE)</f>
        <v>12</v>
      </c>
      <c r="AW91" s="69">
        <f>VLOOKUP(UNINASSAU[[#This Row],[CURSO]],'[1]POS_EAD_0112 a 3101_CAMP. REG)'!$F$690:$I$915,4,FALSE)</f>
        <v>19</v>
      </c>
      <c r="AX91" s="73">
        <f>VLOOKUP(UNINASSAU[[#This Row],[CURSO]],'[1]POS_EAD_0112 a 3101_CAMP. REG)'!$F$690:$J$915,5,FALSE)</f>
        <v>277.58266800000001</v>
      </c>
      <c r="AY91" s="72">
        <f>VLOOKUP(UNINASSAU[[#This Row],[CURSO]],'[1]POS_EAD_0112 a 3101_CAMP. REG)'!$F$690:$L$915,7,FALSE)</f>
        <v>0.45</v>
      </c>
      <c r="AZ91" s="73">
        <f>VLOOKUP(UNINASSAU[[#This Row],[CURSO]],'[1]POS_EAD_0112 a 3101_CAMP. REG)'!$F$690:$N$915,8,FALSE)</f>
        <v>137.4</v>
      </c>
      <c r="BA91" s="72">
        <f>VLOOKUP(UNINASSAU[[#This Row],[CURSO]],'[1]POS_EAD_0112 a 3101_CAMP. REG)'!$F$690:$P$915,11,FALSE)</f>
        <v>0.5</v>
      </c>
      <c r="BB91" s="73">
        <f>VLOOKUP(UNINASSAU[[#This Row],[CURSO]],'[1]POS_EAD_0112 a 3101_CAMP. REG)'!$F$690:$Q$915,12,FALSE)</f>
        <v>124.91</v>
      </c>
      <c r="BD91" s="104">
        <v>88</v>
      </c>
      <c r="BE91" s="121" t="s">
        <v>252</v>
      </c>
      <c r="BF91" s="69" t="s">
        <v>19</v>
      </c>
    </row>
    <row r="92" spans="12:58" x14ac:dyDescent="0.25">
      <c r="L92" s="121" t="s">
        <v>73</v>
      </c>
      <c r="M92" s="69" t="s">
        <v>19</v>
      </c>
      <c r="N92" s="69" t="str">
        <f>VLOOKUP($L$4,'[1]POS_EAD_0112 a 3101_CAMP. REG)'!$F$5:$G$231,2,FALSE)</f>
        <v>Humanas</v>
      </c>
      <c r="O92" s="69">
        <f>VLOOKUP(L92,'[1]POS_EAD_0112 a 3101_CAMP. REG)'!$F$5:$H$231,3,FALSE)</f>
        <v>12</v>
      </c>
      <c r="P92" s="68">
        <f>VLOOKUP(L92,'[1]POS_EAD_0112 a 3101_CAMP. REG)'!$F$5:$I$231,4,FALSE)</f>
        <v>19</v>
      </c>
      <c r="Q92" s="73">
        <f>VLOOKUP(L92,'[1]POS_EAD_0112 a 3101_CAMP. REG)'!$F$5:$J$231,5,FALSE)</f>
        <v>277.58266800000001</v>
      </c>
      <c r="R92" s="124">
        <f>VLOOKUP(L92,'[1]POS_EAD_0112 a 3101_CAMP. REG)'!$F$5:$L$231,7,FALSE)</f>
        <v>0.45</v>
      </c>
      <c r="S92" s="73">
        <f>VLOOKUP(L92,'[1]POS_EAD_0112 a 3101_CAMP. REG)'!$F$5:$M$231,8,FALSE)</f>
        <v>137.4</v>
      </c>
      <c r="T92" s="124">
        <f>VLOOKUP(L92,'[1]POS_EAD_0112 a 3101_CAMP. REG)'!$F$5:$P$231,11,FALSE)</f>
        <v>0.5</v>
      </c>
      <c r="U92" s="73">
        <f>VLOOKUP(L92,'[1]POS_EAD_0112 a 3101_CAMP. REG)'!$F$5:$Q$231,12,FALSE)</f>
        <v>124.91</v>
      </c>
      <c r="W92" s="121" t="s">
        <v>73</v>
      </c>
      <c r="X92" s="69" t="s">
        <v>19</v>
      </c>
      <c r="Y92" s="69" t="str">
        <f>VLOOKUP(W92,'[1]POS_EAD_0112 a 3101_CAMP. REG)'!$F$231:$G$461,2,FALSE)</f>
        <v>Humanas</v>
      </c>
      <c r="Z92" s="68">
        <f>VLOOKUP(W92,'[1]POS_EAD_0112 a 3101_CAMP. REG)'!$F$231:$H$461,3,FALSE)</f>
        <v>12</v>
      </c>
      <c r="AA92" s="68">
        <f>VLOOKUP(W92,'[1]POS_EAD_0112 a 3101_CAMP. REG)'!$F$231:$I$461,4,FALSE)</f>
        <v>19</v>
      </c>
      <c r="AB92" s="73">
        <f>VLOOKUP(W92,'[1]POS_EAD_0112 a 3101_CAMP. REG)'!$F$231:$J$461,5,FALSE)</f>
        <v>300.91749900000002</v>
      </c>
      <c r="AC92" s="72">
        <f>VLOOKUP(W92,'[1]POS_EAD_0112 a 3101_CAMP. REG)'!$F$231:$L$461,7,FALSE)</f>
        <v>0.45</v>
      </c>
      <c r="AD92" s="73">
        <f>VLOOKUP(W92,'[1]POS_EAD_0112 a 3101_CAMP. REG)'!$F$231:$M$461,8,FALSE)</f>
        <v>148.94999999999999</v>
      </c>
      <c r="AE92" s="72">
        <f>VLOOKUP(W92,'[1]POS_EAD_0112 a 3101_CAMP. REG)'!$F$231:$P$461,11,FALSE)</f>
        <v>0.5</v>
      </c>
      <c r="AF92" s="73">
        <f>VLOOKUP(W92,'[1]POS_EAD_0112 a 3101_CAMP. REG)'!$F$231:$Q$461,12,FALSE)</f>
        <v>135.41</v>
      </c>
      <c r="AH92" s="121" t="s">
        <v>73</v>
      </c>
      <c r="AI92" s="69" t="s">
        <v>19</v>
      </c>
      <c r="AJ92" s="68" t="str">
        <f>VLOOKUP(UNG[[#This Row],[CURSO]],'[1]POS_EAD_0112 a 3101_CAMP. REG)'!$F$463:$G$688,2,FALSE)</f>
        <v>Humanas</v>
      </c>
      <c r="AK92" s="68">
        <f>VLOOKUP(UNG[[#This Row],[CURSO]],'[1]POS_EAD_0112 a 3101_CAMP. REG)'!$F$463:$H$688,3,FALSE)</f>
        <v>12</v>
      </c>
      <c r="AL92" s="68">
        <f>VLOOKUP(UNG[[#This Row],[CURSO]],'[1]POS_EAD_0112 a 3101_CAMP. REG)'!$F$463:$I$688,4,FALSE)</f>
        <v>19</v>
      </c>
      <c r="AM92" s="71">
        <f>VLOOKUP(UNG[[#This Row],[CURSO]],'[1]POS_EAD_0112 a 3101_CAMP. REG)'!$F$463:$J$688,5,FALSE)</f>
        <v>277.58266800000001</v>
      </c>
      <c r="AN92" s="124">
        <f>VLOOKUP(UNG[[#This Row],[CURSO]],'[1]POS_EAD_0112 a 3101_CAMP. REG)'!$F$463:$L$688,7,FALSE)</f>
        <v>0.45</v>
      </c>
      <c r="AO92" s="71">
        <f>VLOOKUP(UNG[[#This Row],[CURSO]],'[1]POS_EAD_0112 a 3101_CAMP. REG)'!$F$463:$M$688,8,FALSE)</f>
        <v>137.4</v>
      </c>
      <c r="AP92" s="124">
        <f>VLOOKUP(UNG[[#This Row],[CURSO]],'[1]POS_EAD_0112 a 3101_CAMP. REG)'!$F$463:$P$688,11,FALSE)</f>
        <v>0.5</v>
      </c>
      <c r="AQ92" s="71">
        <f>VLOOKUP(UNG[[#This Row],[CURSO]],'[1]POS_EAD_0112 a 3101_CAMP. REG)'!$F$463:$Q$688,12,FALSE)</f>
        <v>124.91</v>
      </c>
      <c r="AS92" s="121" t="s">
        <v>73</v>
      </c>
      <c r="AT92" s="69" t="s">
        <v>19</v>
      </c>
      <c r="AU92" s="69" t="str">
        <f>VLOOKUP(UNINASSAU[[#This Row],[CURSO]],'[1]POS_EAD_0112 a 3101_CAMP. REG)'!$F$690:$G$915,2,FALSE)</f>
        <v>Humanas</v>
      </c>
      <c r="AV92" s="69">
        <f>VLOOKUP(UNINASSAU[[#This Row],[CURSO]],'[1]POS_EAD_0112 a 3101_CAMP. REG)'!$F$690:$H$915,3,FALSE)</f>
        <v>12</v>
      </c>
      <c r="AW92" s="69">
        <f>VLOOKUP(UNINASSAU[[#This Row],[CURSO]],'[1]POS_EAD_0112 a 3101_CAMP. REG)'!$F$690:$I$915,4,FALSE)</f>
        <v>19</v>
      </c>
      <c r="AX92" s="73">
        <f>VLOOKUP(UNINASSAU[[#This Row],[CURSO]],'[1]POS_EAD_0112 a 3101_CAMP. REG)'!$F$690:$J$915,5,FALSE)</f>
        <v>277.58266800000001</v>
      </c>
      <c r="AY92" s="72">
        <f>VLOOKUP(UNINASSAU[[#This Row],[CURSO]],'[1]POS_EAD_0112 a 3101_CAMP. REG)'!$F$690:$L$915,7,FALSE)</f>
        <v>0.45</v>
      </c>
      <c r="AZ92" s="73">
        <f>VLOOKUP(UNINASSAU[[#This Row],[CURSO]],'[1]POS_EAD_0112 a 3101_CAMP. REG)'!$F$690:$N$915,8,FALSE)</f>
        <v>137.4</v>
      </c>
      <c r="BA92" s="72">
        <f>VLOOKUP(UNINASSAU[[#This Row],[CURSO]],'[1]POS_EAD_0112 a 3101_CAMP. REG)'!$F$690:$P$915,11,FALSE)</f>
        <v>0.5</v>
      </c>
      <c r="BB92" s="73">
        <f>VLOOKUP(UNINASSAU[[#This Row],[CURSO]],'[1]POS_EAD_0112 a 3101_CAMP. REG)'!$F$690:$Q$915,12,FALSE)</f>
        <v>124.91</v>
      </c>
      <c r="BD92" s="104">
        <v>89</v>
      </c>
      <c r="BE92" s="121" t="s">
        <v>73</v>
      </c>
      <c r="BF92" s="69" t="s">
        <v>19</v>
      </c>
    </row>
    <row r="93" spans="12:58" x14ac:dyDescent="0.25">
      <c r="L93" s="121" t="s">
        <v>200</v>
      </c>
      <c r="M93" s="69" t="s">
        <v>19</v>
      </c>
      <c r="N93" s="69" t="str">
        <f>VLOOKUP($L$4,'[1]POS_EAD_0112 a 3101_CAMP. REG)'!$F$5:$G$231,2,FALSE)</f>
        <v>Humanas</v>
      </c>
      <c r="O93" s="69">
        <f>VLOOKUP(L93,'[1]POS_EAD_0112 a 3101_CAMP. REG)'!$F$5:$H$231,3,FALSE)</f>
        <v>12</v>
      </c>
      <c r="P93" s="68">
        <f>VLOOKUP(L93,'[1]POS_EAD_0112 a 3101_CAMP. REG)'!$F$5:$I$231,4,FALSE)</f>
        <v>19</v>
      </c>
      <c r="Q93" s="73">
        <f>VLOOKUP(L93,'[1]POS_EAD_0112 a 3101_CAMP. REG)'!$F$5:$J$231,5,FALSE)</f>
        <v>184.28091221052631</v>
      </c>
      <c r="R93" s="124">
        <f>VLOOKUP(L93,'[1]POS_EAD_0112 a 3101_CAMP. REG)'!$F$5:$L$231,7,FALSE)</f>
        <v>0.45</v>
      </c>
      <c r="S93" s="73">
        <f>VLOOKUP(L93,'[1]POS_EAD_0112 a 3101_CAMP. REG)'!$F$5:$M$231,8,FALSE)</f>
        <v>91.22</v>
      </c>
      <c r="T93" s="124">
        <f>VLOOKUP(L93,'[1]POS_EAD_0112 a 3101_CAMP. REG)'!$F$5:$P$231,11,FALSE)</f>
        <v>0.5</v>
      </c>
      <c r="U93" s="73">
        <f>VLOOKUP(L93,'[1]POS_EAD_0112 a 3101_CAMP. REG)'!$F$5:$Q$231,12,FALSE)</f>
        <v>82.93</v>
      </c>
      <c r="W93" s="121" t="s">
        <v>200</v>
      </c>
      <c r="X93" s="69" t="s">
        <v>19</v>
      </c>
      <c r="Y93" s="69" t="str">
        <f>VLOOKUP(W93,'[1]POS_EAD_0112 a 3101_CAMP. REG)'!$F$231:$G$461,2,FALSE)</f>
        <v>Exatas</v>
      </c>
      <c r="Z93" s="68">
        <f>VLOOKUP(W93,'[1]POS_EAD_0112 a 3101_CAMP. REG)'!$F$231:$H$461,3,FALSE)</f>
        <v>12</v>
      </c>
      <c r="AA93" s="68">
        <f>VLOOKUP(W93,'[1]POS_EAD_0112 a 3101_CAMP. REG)'!$F$231:$I$461,4,FALSE)</f>
        <v>19</v>
      </c>
      <c r="AB93" s="73">
        <f>VLOOKUP(W93,'[1]POS_EAD_0112 a 3101_CAMP. REG)'!$F$231:$J$461,5,FALSE)</f>
        <v>207.609666</v>
      </c>
      <c r="AC93" s="72">
        <f>VLOOKUP(W93,'[1]POS_EAD_0112 a 3101_CAMP. REG)'!$F$231:$L$461,7,FALSE)</f>
        <v>0.45</v>
      </c>
      <c r="AD93" s="73">
        <f>VLOOKUP(W93,'[1]POS_EAD_0112 a 3101_CAMP. REG)'!$F$231:$M$461,8,FALSE)</f>
        <v>102.77</v>
      </c>
      <c r="AE93" s="72">
        <f>VLOOKUP(W93,'[1]POS_EAD_0112 a 3101_CAMP. REG)'!$F$231:$P$461,11,FALSE)</f>
        <v>0.5</v>
      </c>
      <c r="AF93" s="73">
        <f>VLOOKUP(W93,'[1]POS_EAD_0112 a 3101_CAMP. REG)'!$F$231:$Q$461,12,FALSE)</f>
        <v>93.42</v>
      </c>
      <c r="AH93" s="121" t="s">
        <v>200</v>
      </c>
      <c r="AI93" s="69" t="s">
        <v>19</v>
      </c>
      <c r="AJ93" s="68" t="str">
        <f>VLOOKUP(UNG[[#This Row],[CURSO]],'[1]POS_EAD_0112 a 3101_CAMP. REG)'!$F$463:$G$688,2,FALSE)</f>
        <v>Exatas</v>
      </c>
      <c r="AK93" s="68">
        <f>VLOOKUP(UNG[[#This Row],[CURSO]],'[1]POS_EAD_0112 a 3101_CAMP. REG)'!$F$463:$H$688,3,FALSE)</f>
        <v>12</v>
      </c>
      <c r="AL93" s="68">
        <f>VLOOKUP(UNG[[#This Row],[CURSO]],'[1]POS_EAD_0112 a 3101_CAMP. REG)'!$F$463:$I$688,4,FALSE)</f>
        <v>19</v>
      </c>
      <c r="AM93" s="71">
        <f>VLOOKUP(UNG[[#This Row],[CURSO]],'[1]POS_EAD_0112 a 3101_CAMP. REG)'!$F$463:$J$688,5,FALSE)</f>
        <v>184.28091221052631</v>
      </c>
      <c r="AN93" s="124">
        <f>VLOOKUP(UNG[[#This Row],[CURSO]],'[1]POS_EAD_0112 a 3101_CAMP. REG)'!$F$463:$L$688,7,FALSE)</f>
        <v>0.45</v>
      </c>
      <c r="AO93" s="71">
        <f>VLOOKUP(UNG[[#This Row],[CURSO]],'[1]POS_EAD_0112 a 3101_CAMP. REG)'!$F$463:$M$688,8,FALSE)</f>
        <v>91.22</v>
      </c>
      <c r="AP93" s="124">
        <f>VLOOKUP(UNG[[#This Row],[CURSO]],'[1]POS_EAD_0112 a 3101_CAMP. REG)'!$F$463:$P$688,11,FALSE)</f>
        <v>0.5</v>
      </c>
      <c r="AQ93" s="71">
        <f>VLOOKUP(UNG[[#This Row],[CURSO]],'[1]POS_EAD_0112 a 3101_CAMP. REG)'!$F$463:$Q$688,12,FALSE)</f>
        <v>82.93</v>
      </c>
      <c r="AS93" s="121" t="s">
        <v>200</v>
      </c>
      <c r="AT93" s="69" t="s">
        <v>19</v>
      </c>
      <c r="AU93" s="69" t="str">
        <f>VLOOKUP(UNINASSAU[[#This Row],[CURSO]],'[1]POS_EAD_0112 a 3101_CAMP. REG)'!$F$690:$G$915,2,FALSE)</f>
        <v>Exatas</v>
      </c>
      <c r="AV93" s="69">
        <f>VLOOKUP(UNINASSAU[[#This Row],[CURSO]],'[1]POS_EAD_0112 a 3101_CAMP. REG)'!$F$690:$H$915,3,FALSE)</f>
        <v>12</v>
      </c>
      <c r="AW93" s="69">
        <f>VLOOKUP(UNINASSAU[[#This Row],[CURSO]],'[1]POS_EAD_0112 a 3101_CAMP. REG)'!$F$690:$I$915,4,FALSE)</f>
        <v>19</v>
      </c>
      <c r="AX93" s="73">
        <f>VLOOKUP(UNINASSAU[[#This Row],[CURSO]],'[1]POS_EAD_0112 a 3101_CAMP. REG)'!$F$690:$J$915,5,FALSE)</f>
        <v>184.28091221052631</v>
      </c>
      <c r="AY93" s="72">
        <f>VLOOKUP(UNINASSAU[[#This Row],[CURSO]],'[1]POS_EAD_0112 a 3101_CAMP. REG)'!$F$690:$L$915,7,FALSE)</f>
        <v>0.45</v>
      </c>
      <c r="AZ93" s="73">
        <f>VLOOKUP(UNINASSAU[[#This Row],[CURSO]],'[1]POS_EAD_0112 a 3101_CAMP. REG)'!$F$690:$N$915,8,FALSE)</f>
        <v>91.22</v>
      </c>
      <c r="BA93" s="72">
        <f>VLOOKUP(UNINASSAU[[#This Row],[CURSO]],'[1]POS_EAD_0112 a 3101_CAMP. REG)'!$F$690:$P$915,11,FALSE)</f>
        <v>0.5</v>
      </c>
      <c r="BB93" s="73">
        <f>VLOOKUP(UNINASSAU[[#This Row],[CURSO]],'[1]POS_EAD_0112 a 3101_CAMP. REG)'!$F$690:$Q$915,12,FALSE)</f>
        <v>82.93</v>
      </c>
      <c r="BD93" s="104">
        <v>90</v>
      </c>
      <c r="BE93" s="121" t="s">
        <v>200</v>
      </c>
      <c r="BF93" s="69" t="s">
        <v>19</v>
      </c>
    </row>
    <row r="94" spans="12:58" x14ac:dyDescent="0.25">
      <c r="L94" s="121" t="s">
        <v>103</v>
      </c>
      <c r="M94" s="69" t="s">
        <v>19</v>
      </c>
      <c r="N94" s="69" t="str">
        <f>VLOOKUP($L$4,'[1]POS_EAD_0112 a 3101_CAMP. REG)'!$F$5:$G$231,2,FALSE)</f>
        <v>Humanas</v>
      </c>
      <c r="O94" s="69">
        <f>VLOOKUP(L94,'[1]POS_EAD_0112 a 3101_CAMP. REG)'!$F$5:$H$231,3,FALSE)</f>
        <v>12</v>
      </c>
      <c r="P94" s="68">
        <f>VLOOKUP(L94,'[1]POS_EAD_0112 a 3101_CAMP. REG)'!$F$5:$I$231,4,FALSE)</f>
        <v>19</v>
      </c>
      <c r="Q94" s="73">
        <f>VLOOKUP(L94,'[1]POS_EAD_0112 a 3101_CAMP. REG)'!$F$5:$J$231,5,FALSE)</f>
        <v>184.28091221052631</v>
      </c>
      <c r="R94" s="124">
        <f>VLOOKUP(L94,'[1]POS_EAD_0112 a 3101_CAMP. REG)'!$F$5:$L$231,7,FALSE)</f>
        <v>0.45</v>
      </c>
      <c r="S94" s="73">
        <f>VLOOKUP(L94,'[1]POS_EAD_0112 a 3101_CAMP. REG)'!$F$5:$M$231,8,FALSE)</f>
        <v>91.22</v>
      </c>
      <c r="T94" s="124">
        <f>VLOOKUP(L94,'[1]POS_EAD_0112 a 3101_CAMP. REG)'!$F$5:$P$231,11,FALSE)</f>
        <v>0.5</v>
      </c>
      <c r="U94" s="73">
        <f>VLOOKUP(L94,'[1]POS_EAD_0112 a 3101_CAMP. REG)'!$F$5:$Q$231,12,FALSE)</f>
        <v>82.93</v>
      </c>
      <c r="W94" s="121" t="s">
        <v>103</v>
      </c>
      <c r="X94" s="69" t="s">
        <v>19</v>
      </c>
      <c r="Y94" s="69" t="str">
        <f>VLOOKUP(W94,'[1]POS_EAD_0112 a 3101_CAMP. REG)'!$F$231:$G$461,2,FALSE)</f>
        <v>Humanas</v>
      </c>
      <c r="Z94" s="68">
        <f>VLOOKUP(W94,'[1]POS_EAD_0112 a 3101_CAMP. REG)'!$F$231:$H$461,3,FALSE)</f>
        <v>12</v>
      </c>
      <c r="AA94" s="68">
        <f>VLOOKUP(W94,'[1]POS_EAD_0112 a 3101_CAMP. REG)'!$F$231:$I$461,4,FALSE)</f>
        <v>19</v>
      </c>
      <c r="AB94" s="73">
        <f>VLOOKUP(W94,'[1]POS_EAD_0112 a 3101_CAMP. REG)'!$F$231:$J$461,5,FALSE)</f>
        <v>207.609666</v>
      </c>
      <c r="AC94" s="72">
        <f>VLOOKUP(W94,'[1]POS_EAD_0112 a 3101_CAMP. REG)'!$F$231:$L$461,7,FALSE)</f>
        <v>0.45</v>
      </c>
      <c r="AD94" s="73">
        <f>VLOOKUP(W94,'[1]POS_EAD_0112 a 3101_CAMP. REG)'!$F$231:$M$461,8,FALSE)</f>
        <v>102.77</v>
      </c>
      <c r="AE94" s="72">
        <f>VLOOKUP(W94,'[1]POS_EAD_0112 a 3101_CAMP. REG)'!$F$231:$P$461,11,FALSE)</f>
        <v>0.5</v>
      </c>
      <c r="AF94" s="73">
        <f>VLOOKUP(W94,'[1]POS_EAD_0112 a 3101_CAMP. REG)'!$F$231:$Q$461,12,FALSE)</f>
        <v>93.42</v>
      </c>
      <c r="AH94" s="121" t="s">
        <v>103</v>
      </c>
      <c r="AI94" s="69" t="s">
        <v>19</v>
      </c>
      <c r="AJ94" s="68" t="str">
        <f>VLOOKUP(UNG[[#This Row],[CURSO]],'[1]POS_EAD_0112 a 3101_CAMP. REG)'!$F$463:$G$688,2,FALSE)</f>
        <v>Humanas</v>
      </c>
      <c r="AK94" s="68">
        <f>VLOOKUP(UNG[[#This Row],[CURSO]],'[1]POS_EAD_0112 a 3101_CAMP. REG)'!$F$463:$H$688,3,FALSE)</f>
        <v>12</v>
      </c>
      <c r="AL94" s="68">
        <f>VLOOKUP(UNG[[#This Row],[CURSO]],'[1]POS_EAD_0112 a 3101_CAMP. REG)'!$F$463:$I$688,4,FALSE)</f>
        <v>19</v>
      </c>
      <c r="AM94" s="71">
        <f>VLOOKUP(UNG[[#This Row],[CURSO]],'[1]POS_EAD_0112 a 3101_CAMP. REG)'!$F$463:$J$688,5,FALSE)</f>
        <v>184.28091221052631</v>
      </c>
      <c r="AN94" s="124">
        <f>VLOOKUP(UNG[[#This Row],[CURSO]],'[1]POS_EAD_0112 a 3101_CAMP. REG)'!$F$463:$L$688,7,FALSE)</f>
        <v>0.45</v>
      </c>
      <c r="AO94" s="71">
        <f>VLOOKUP(UNG[[#This Row],[CURSO]],'[1]POS_EAD_0112 a 3101_CAMP. REG)'!$F$463:$M$688,8,FALSE)</f>
        <v>91.22</v>
      </c>
      <c r="AP94" s="124">
        <f>VLOOKUP(UNG[[#This Row],[CURSO]],'[1]POS_EAD_0112 a 3101_CAMP. REG)'!$F$463:$P$688,11,FALSE)</f>
        <v>0.5</v>
      </c>
      <c r="AQ94" s="71">
        <f>VLOOKUP(UNG[[#This Row],[CURSO]],'[1]POS_EAD_0112 a 3101_CAMP. REG)'!$F$463:$Q$688,12,FALSE)</f>
        <v>82.93</v>
      </c>
      <c r="AS94" s="121" t="s">
        <v>103</v>
      </c>
      <c r="AT94" s="69" t="s">
        <v>19</v>
      </c>
      <c r="AU94" s="69" t="str">
        <f>VLOOKUP(UNINASSAU[[#This Row],[CURSO]],'[1]POS_EAD_0112 a 3101_CAMP. REG)'!$F$690:$G$915,2,FALSE)</f>
        <v>Humanas</v>
      </c>
      <c r="AV94" s="69">
        <f>VLOOKUP(UNINASSAU[[#This Row],[CURSO]],'[1]POS_EAD_0112 a 3101_CAMP. REG)'!$F$690:$H$915,3,FALSE)</f>
        <v>12</v>
      </c>
      <c r="AW94" s="69">
        <f>VLOOKUP(UNINASSAU[[#This Row],[CURSO]],'[1]POS_EAD_0112 a 3101_CAMP. REG)'!$F$690:$I$915,4,FALSE)</f>
        <v>19</v>
      </c>
      <c r="AX94" s="73">
        <f>VLOOKUP(UNINASSAU[[#This Row],[CURSO]],'[1]POS_EAD_0112 a 3101_CAMP. REG)'!$F$690:$J$915,5,FALSE)</f>
        <v>184.28091221052631</v>
      </c>
      <c r="AY94" s="72">
        <f>VLOOKUP(UNINASSAU[[#This Row],[CURSO]],'[1]POS_EAD_0112 a 3101_CAMP. REG)'!$F$690:$L$915,7,FALSE)</f>
        <v>0.45</v>
      </c>
      <c r="AZ94" s="73">
        <f>VLOOKUP(UNINASSAU[[#This Row],[CURSO]],'[1]POS_EAD_0112 a 3101_CAMP. REG)'!$F$690:$N$915,8,FALSE)</f>
        <v>91.22</v>
      </c>
      <c r="BA94" s="72">
        <f>VLOOKUP(UNINASSAU[[#This Row],[CURSO]],'[1]POS_EAD_0112 a 3101_CAMP. REG)'!$F$690:$P$915,11,FALSE)</f>
        <v>0.5</v>
      </c>
      <c r="BB94" s="73">
        <f>VLOOKUP(UNINASSAU[[#This Row],[CURSO]],'[1]POS_EAD_0112 a 3101_CAMP. REG)'!$F$690:$Q$915,12,FALSE)</f>
        <v>82.93</v>
      </c>
      <c r="BD94" s="104">
        <v>91</v>
      </c>
      <c r="BE94" s="121" t="s">
        <v>103</v>
      </c>
      <c r="BF94" s="69" t="s">
        <v>19</v>
      </c>
    </row>
    <row r="95" spans="12:58" x14ac:dyDescent="0.25">
      <c r="L95" s="121" t="s">
        <v>183</v>
      </c>
      <c r="M95" s="69" t="s">
        <v>19</v>
      </c>
      <c r="N95" s="69" t="str">
        <f>VLOOKUP($L$4,'[1]POS_EAD_0112 a 3101_CAMP. REG)'!$F$5:$G$231,2,FALSE)</f>
        <v>Humanas</v>
      </c>
      <c r="O95" s="69">
        <f>VLOOKUP(L95,'[1]POS_EAD_0112 a 3101_CAMP. REG)'!$F$5:$H$231,3,FALSE)</f>
        <v>12</v>
      </c>
      <c r="P95" s="68">
        <f>VLOOKUP(L95,'[1]POS_EAD_0112 a 3101_CAMP. REG)'!$F$5:$I$231,4,FALSE)</f>
        <v>19</v>
      </c>
      <c r="Q95" s="73">
        <f>VLOOKUP(L95,'[1]POS_EAD_0112 a 3101_CAMP. REG)'!$F$5:$J$231,5,FALSE)</f>
        <v>277.58266800000001</v>
      </c>
      <c r="R95" s="124">
        <f>VLOOKUP(L95,'[1]POS_EAD_0112 a 3101_CAMP. REG)'!$F$5:$L$231,7,FALSE)</f>
        <v>0.45</v>
      </c>
      <c r="S95" s="73">
        <f>VLOOKUP(L95,'[1]POS_EAD_0112 a 3101_CAMP. REG)'!$F$5:$M$231,8,FALSE)</f>
        <v>137.4</v>
      </c>
      <c r="T95" s="124">
        <f>VLOOKUP(L95,'[1]POS_EAD_0112 a 3101_CAMP. REG)'!$F$5:$P$231,11,FALSE)</f>
        <v>0.5</v>
      </c>
      <c r="U95" s="73">
        <f>VLOOKUP(L95,'[1]POS_EAD_0112 a 3101_CAMP. REG)'!$F$5:$Q$231,12,FALSE)</f>
        <v>124.91</v>
      </c>
      <c r="W95" s="121" t="s">
        <v>183</v>
      </c>
      <c r="X95" s="69" t="s">
        <v>19</v>
      </c>
      <c r="Y95" s="69" t="str">
        <f>VLOOKUP(W95,'[1]POS_EAD_0112 a 3101_CAMP. REG)'!$F$231:$G$461,2,FALSE)</f>
        <v>Saúde</v>
      </c>
      <c r="Z95" s="68">
        <f>VLOOKUP(W95,'[1]POS_EAD_0112 a 3101_CAMP. REG)'!$F$231:$H$461,3,FALSE)</f>
        <v>12</v>
      </c>
      <c r="AA95" s="68">
        <f>VLOOKUP(W95,'[1]POS_EAD_0112 a 3101_CAMP. REG)'!$F$231:$I$461,4,FALSE)</f>
        <v>19</v>
      </c>
      <c r="AB95" s="73">
        <f>VLOOKUP(W95,'[1]POS_EAD_0112 a 3101_CAMP. REG)'!$F$231:$J$461,5,FALSE)</f>
        <v>300.91749900000002</v>
      </c>
      <c r="AC95" s="72">
        <f>VLOOKUP(W95,'[1]POS_EAD_0112 a 3101_CAMP. REG)'!$F$231:$L$461,7,FALSE)</f>
        <v>0.45</v>
      </c>
      <c r="AD95" s="73">
        <f>VLOOKUP(W95,'[1]POS_EAD_0112 a 3101_CAMP. REG)'!$F$231:$M$461,8,FALSE)</f>
        <v>148.94999999999999</v>
      </c>
      <c r="AE95" s="72">
        <f>VLOOKUP(W95,'[1]POS_EAD_0112 a 3101_CAMP. REG)'!$F$231:$P$461,11,FALSE)</f>
        <v>0.5</v>
      </c>
      <c r="AF95" s="73">
        <f>VLOOKUP(W95,'[1]POS_EAD_0112 a 3101_CAMP. REG)'!$F$231:$Q$461,12,FALSE)</f>
        <v>135.41</v>
      </c>
      <c r="AH95" s="121" t="s">
        <v>183</v>
      </c>
      <c r="AI95" s="69" t="s">
        <v>19</v>
      </c>
      <c r="AJ95" s="68" t="str">
        <f>VLOOKUP(UNG[[#This Row],[CURSO]],'[1]POS_EAD_0112 a 3101_CAMP. REG)'!$F$463:$G$688,2,FALSE)</f>
        <v>Saúde</v>
      </c>
      <c r="AK95" s="68">
        <f>VLOOKUP(UNG[[#This Row],[CURSO]],'[1]POS_EAD_0112 a 3101_CAMP. REG)'!$F$463:$H$688,3,FALSE)</f>
        <v>12</v>
      </c>
      <c r="AL95" s="68">
        <f>VLOOKUP(UNG[[#This Row],[CURSO]],'[1]POS_EAD_0112 a 3101_CAMP. REG)'!$F$463:$I$688,4,FALSE)</f>
        <v>19</v>
      </c>
      <c r="AM95" s="71">
        <f>VLOOKUP(UNG[[#This Row],[CURSO]],'[1]POS_EAD_0112 a 3101_CAMP. REG)'!$F$463:$J$688,5,FALSE)</f>
        <v>277.58266800000001</v>
      </c>
      <c r="AN95" s="124">
        <f>VLOOKUP(UNG[[#This Row],[CURSO]],'[1]POS_EAD_0112 a 3101_CAMP. REG)'!$F$463:$L$688,7,FALSE)</f>
        <v>0.45</v>
      </c>
      <c r="AO95" s="71">
        <f>VLOOKUP(UNG[[#This Row],[CURSO]],'[1]POS_EAD_0112 a 3101_CAMP. REG)'!$F$463:$M$688,8,FALSE)</f>
        <v>137.4</v>
      </c>
      <c r="AP95" s="124">
        <f>VLOOKUP(UNG[[#This Row],[CURSO]],'[1]POS_EAD_0112 a 3101_CAMP. REG)'!$F$463:$P$688,11,FALSE)</f>
        <v>0.5</v>
      </c>
      <c r="AQ95" s="71">
        <f>VLOOKUP(UNG[[#This Row],[CURSO]],'[1]POS_EAD_0112 a 3101_CAMP. REG)'!$F$463:$Q$688,12,FALSE)</f>
        <v>124.91</v>
      </c>
      <c r="AS95" s="121" t="s">
        <v>183</v>
      </c>
      <c r="AT95" s="69" t="s">
        <v>19</v>
      </c>
      <c r="AU95" s="69" t="str">
        <f>VLOOKUP(UNINASSAU[[#This Row],[CURSO]],'[1]POS_EAD_0112 a 3101_CAMP. REG)'!$F$690:$G$915,2,FALSE)</f>
        <v>Saúde</v>
      </c>
      <c r="AV95" s="69">
        <f>VLOOKUP(UNINASSAU[[#This Row],[CURSO]],'[1]POS_EAD_0112 a 3101_CAMP. REG)'!$F$690:$H$915,3,FALSE)</f>
        <v>12</v>
      </c>
      <c r="AW95" s="69">
        <f>VLOOKUP(UNINASSAU[[#This Row],[CURSO]],'[1]POS_EAD_0112 a 3101_CAMP. REG)'!$F$690:$I$915,4,FALSE)</f>
        <v>19</v>
      </c>
      <c r="AX95" s="73">
        <f>VLOOKUP(UNINASSAU[[#This Row],[CURSO]],'[1]POS_EAD_0112 a 3101_CAMP. REG)'!$F$690:$J$915,5,FALSE)</f>
        <v>277.58266800000001</v>
      </c>
      <c r="AY95" s="72">
        <f>VLOOKUP(UNINASSAU[[#This Row],[CURSO]],'[1]POS_EAD_0112 a 3101_CAMP. REG)'!$F$690:$L$915,7,FALSE)</f>
        <v>0.45</v>
      </c>
      <c r="AZ95" s="73">
        <f>VLOOKUP(UNINASSAU[[#This Row],[CURSO]],'[1]POS_EAD_0112 a 3101_CAMP. REG)'!$F$690:$N$915,8,FALSE)</f>
        <v>137.4</v>
      </c>
      <c r="BA95" s="72">
        <f>VLOOKUP(UNINASSAU[[#This Row],[CURSO]],'[1]POS_EAD_0112 a 3101_CAMP. REG)'!$F$690:$P$915,11,FALSE)</f>
        <v>0.5</v>
      </c>
      <c r="BB95" s="73">
        <f>VLOOKUP(UNINASSAU[[#This Row],[CURSO]],'[1]POS_EAD_0112 a 3101_CAMP. REG)'!$F$690:$Q$915,12,FALSE)</f>
        <v>124.91</v>
      </c>
      <c r="BD95" s="104">
        <v>92</v>
      </c>
      <c r="BE95" s="121" t="s">
        <v>183</v>
      </c>
      <c r="BF95" s="69" t="s">
        <v>19</v>
      </c>
    </row>
    <row r="96" spans="12:58" x14ac:dyDescent="0.25">
      <c r="L96" s="121" t="s">
        <v>41</v>
      </c>
      <c r="M96" s="69" t="s">
        <v>19</v>
      </c>
      <c r="N96" s="69" t="str">
        <f>VLOOKUP($L$4,'[1]POS_EAD_0112 a 3101_CAMP. REG)'!$F$5:$G$231,2,FALSE)</f>
        <v>Humanas</v>
      </c>
      <c r="O96" s="69">
        <f>VLOOKUP(L96,'[1]POS_EAD_0112 a 3101_CAMP. REG)'!$F$5:$H$231,3,FALSE)</f>
        <v>12</v>
      </c>
      <c r="P96" s="68">
        <f>VLOOKUP(L96,'[1]POS_EAD_0112 a 3101_CAMP. REG)'!$F$5:$I$231,4,FALSE)</f>
        <v>19</v>
      </c>
      <c r="Q96" s="73">
        <f>VLOOKUP(L96,'[1]POS_EAD_0112 a 3101_CAMP. REG)'!$F$5:$J$231,5,FALSE)</f>
        <v>184.28091221052631</v>
      </c>
      <c r="R96" s="124">
        <f>VLOOKUP(L96,'[1]POS_EAD_0112 a 3101_CAMP. REG)'!$F$5:$L$231,7,FALSE)</f>
        <v>0.45</v>
      </c>
      <c r="S96" s="73">
        <f>VLOOKUP(L96,'[1]POS_EAD_0112 a 3101_CAMP. REG)'!$F$5:$M$231,8,FALSE)</f>
        <v>91.22</v>
      </c>
      <c r="T96" s="124">
        <f>VLOOKUP(L96,'[1]POS_EAD_0112 a 3101_CAMP. REG)'!$F$5:$P$231,11,FALSE)</f>
        <v>0.5</v>
      </c>
      <c r="U96" s="73">
        <f>VLOOKUP(L96,'[1]POS_EAD_0112 a 3101_CAMP. REG)'!$F$5:$Q$231,12,FALSE)</f>
        <v>82.93</v>
      </c>
      <c r="W96" s="121" t="s">
        <v>41</v>
      </c>
      <c r="X96" s="69" t="s">
        <v>19</v>
      </c>
      <c r="Y96" s="69" t="str">
        <f>VLOOKUP(W96,'[1]POS_EAD_0112 a 3101_CAMP. REG)'!$F$231:$G$461,2,FALSE)</f>
        <v>Humanas</v>
      </c>
      <c r="Z96" s="68">
        <f>VLOOKUP(W96,'[1]POS_EAD_0112 a 3101_CAMP. REG)'!$F$231:$H$461,3,FALSE)</f>
        <v>12</v>
      </c>
      <c r="AA96" s="68">
        <f>VLOOKUP(W96,'[1]POS_EAD_0112 a 3101_CAMP. REG)'!$F$231:$I$461,4,FALSE)</f>
        <v>19</v>
      </c>
      <c r="AB96" s="73">
        <f>VLOOKUP(W96,'[1]POS_EAD_0112 a 3101_CAMP. REG)'!$F$231:$J$461,5,FALSE)</f>
        <v>207.609666</v>
      </c>
      <c r="AC96" s="72">
        <f>VLOOKUP(W96,'[1]POS_EAD_0112 a 3101_CAMP. REG)'!$F$231:$L$461,7,FALSE)</f>
        <v>0.45</v>
      </c>
      <c r="AD96" s="73">
        <f>VLOOKUP(W96,'[1]POS_EAD_0112 a 3101_CAMP. REG)'!$F$231:$M$461,8,FALSE)</f>
        <v>102.77</v>
      </c>
      <c r="AE96" s="72">
        <f>VLOOKUP(W96,'[1]POS_EAD_0112 a 3101_CAMP. REG)'!$F$231:$P$461,11,FALSE)</f>
        <v>0.5</v>
      </c>
      <c r="AF96" s="73">
        <f>VLOOKUP(W96,'[1]POS_EAD_0112 a 3101_CAMP. REG)'!$F$231:$Q$461,12,FALSE)</f>
        <v>93.42</v>
      </c>
      <c r="AH96" s="121" t="s">
        <v>41</v>
      </c>
      <c r="AI96" s="69" t="s">
        <v>19</v>
      </c>
      <c r="AJ96" s="68" t="str">
        <f>VLOOKUP(UNG[[#This Row],[CURSO]],'[1]POS_EAD_0112 a 3101_CAMP. REG)'!$F$463:$G$688,2,FALSE)</f>
        <v>Humanas</v>
      </c>
      <c r="AK96" s="68">
        <f>VLOOKUP(UNG[[#This Row],[CURSO]],'[1]POS_EAD_0112 a 3101_CAMP. REG)'!$F$463:$H$688,3,FALSE)</f>
        <v>12</v>
      </c>
      <c r="AL96" s="68">
        <f>VLOOKUP(UNG[[#This Row],[CURSO]],'[1]POS_EAD_0112 a 3101_CAMP. REG)'!$F$463:$I$688,4,FALSE)</f>
        <v>19</v>
      </c>
      <c r="AM96" s="71">
        <f>VLOOKUP(UNG[[#This Row],[CURSO]],'[1]POS_EAD_0112 a 3101_CAMP. REG)'!$F$463:$J$688,5,FALSE)</f>
        <v>184.28091221052631</v>
      </c>
      <c r="AN96" s="124">
        <f>VLOOKUP(UNG[[#This Row],[CURSO]],'[1]POS_EAD_0112 a 3101_CAMP. REG)'!$F$463:$L$688,7,FALSE)</f>
        <v>0.45</v>
      </c>
      <c r="AO96" s="71">
        <f>VLOOKUP(UNG[[#This Row],[CURSO]],'[1]POS_EAD_0112 a 3101_CAMP. REG)'!$F$463:$M$688,8,FALSE)</f>
        <v>91.22</v>
      </c>
      <c r="AP96" s="124">
        <f>VLOOKUP(UNG[[#This Row],[CURSO]],'[1]POS_EAD_0112 a 3101_CAMP. REG)'!$F$463:$P$688,11,FALSE)</f>
        <v>0.5</v>
      </c>
      <c r="AQ96" s="71">
        <f>VLOOKUP(UNG[[#This Row],[CURSO]],'[1]POS_EAD_0112 a 3101_CAMP. REG)'!$F$463:$Q$688,12,FALSE)</f>
        <v>82.93</v>
      </c>
      <c r="AS96" s="121" t="s">
        <v>41</v>
      </c>
      <c r="AT96" s="69" t="s">
        <v>19</v>
      </c>
      <c r="AU96" s="69" t="str">
        <f>VLOOKUP(UNINASSAU[[#This Row],[CURSO]],'[1]POS_EAD_0112 a 3101_CAMP. REG)'!$F$690:$G$915,2,FALSE)</f>
        <v>Humanas</v>
      </c>
      <c r="AV96" s="69">
        <f>VLOOKUP(UNINASSAU[[#This Row],[CURSO]],'[1]POS_EAD_0112 a 3101_CAMP. REG)'!$F$690:$H$915,3,FALSE)</f>
        <v>12</v>
      </c>
      <c r="AW96" s="69">
        <f>VLOOKUP(UNINASSAU[[#This Row],[CURSO]],'[1]POS_EAD_0112 a 3101_CAMP. REG)'!$F$690:$I$915,4,FALSE)</f>
        <v>19</v>
      </c>
      <c r="AX96" s="73">
        <f>VLOOKUP(UNINASSAU[[#This Row],[CURSO]],'[1]POS_EAD_0112 a 3101_CAMP. REG)'!$F$690:$J$915,5,FALSE)</f>
        <v>184.28091221052631</v>
      </c>
      <c r="AY96" s="72">
        <f>VLOOKUP(UNINASSAU[[#This Row],[CURSO]],'[1]POS_EAD_0112 a 3101_CAMP. REG)'!$F$690:$L$915,7,FALSE)</f>
        <v>0.45</v>
      </c>
      <c r="AZ96" s="73">
        <f>VLOOKUP(UNINASSAU[[#This Row],[CURSO]],'[1]POS_EAD_0112 a 3101_CAMP. REG)'!$F$690:$N$915,8,FALSE)</f>
        <v>91.22</v>
      </c>
      <c r="BA96" s="72">
        <f>VLOOKUP(UNINASSAU[[#This Row],[CURSO]],'[1]POS_EAD_0112 a 3101_CAMP. REG)'!$F$690:$P$915,11,FALSE)</f>
        <v>0.5</v>
      </c>
      <c r="BB96" s="73">
        <f>VLOOKUP(UNINASSAU[[#This Row],[CURSO]],'[1]POS_EAD_0112 a 3101_CAMP. REG)'!$F$690:$Q$915,12,FALSE)</f>
        <v>82.93</v>
      </c>
      <c r="BD96" s="104">
        <v>93</v>
      </c>
      <c r="BE96" s="121" t="s">
        <v>41</v>
      </c>
      <c r="BF96" s="69" t="s">
        <v>19</v>
      </c>
    </row>
    <row r="97" spans="12:58" x14ac:dyDescent="0.25">
      <c r="L97" s="121" t="s">
        <v>95</v>
      </c>
      <c r="M97" s="69" t="s">
        <v>19</v>
      </c>
      <c r="N97" s="69" t="str">
        <f>VLOOKUP($L$4,'[1]POS_EAD_0112 a 3101_CAMP. REG)'!$F$5:$G$231,2,FALSE)</f>
        <v>Humanas</v>
      </c>
      <c r="O97" s="69">
        <f>VLOOKUP(L97,'[1]POS_EAD_0112 a 3101_CAMP. REG)'!$F$5:$H$231,3,FALSE)</f>
        <v>12</v>
      </c>
      <c r="P97" s="68">
        <f>VLOOKUP(L97,'[1]POS_EAD_0112 a 3101_CAMP. REG)'!$F$5:$I$231,4,FALSE)</f>
        <v>19</v>
      </c>
      <c r="Q97" s="73">
        <f>VLOOKUP(L97,'[1]POS_EAD_0112 a 3101_CAMP. REG)'!$F$5:$J$231,5,FALSE)</f>
        <v>277.58266800000001</v>
      </c>
      <c r="R97" s="124">
        <f>VLOOKUP(L97,'[1]POS_EAD_0112 a 3101_CAMP. REG)'!$F$5:$L$231,7,FALSE)</f>
        <v>0.45</v>
      </c>
      <c r="S97" s="73">
        <f>VLOOKUP(L97,'[1]POS_EAD_0112 a 3101_CAMP. REG)'!$F$5:$M$231,8,FALSE)</f>
        <v>137.4</v>
      </c>
      <c r="T97" s="124">
        <f>VLOOKUP(L97,'[1]POS_EAD_0112 a 3101_CAMP. REG)'!$F$5:$P$231,11,FALSE)</f>
        <v>0.5</v>
      </c>
      <c r="U97" s="73">
        <f>VLOOKUP(L97,'[1]POS_EAD_0112 a 3101_CAMP. REG)'!$F$5:$Q$231,12,FALSE)</f>
        <v>124.91</v>
      </c>
      <c r="W97" s="121" t="s">
        <v>95</v>
      </c>
      <c r="X97" s="69" t="s">
        <v>19</v>
      </c>
      <c r="Y97" s="69" t="str">
        <f>VLOOKUP(W97,'[1]POS_EAD_0112 a 3101_CAMP. REG)'!$F$231:$G$461,2,FALSE)</f>
        <v>Saúde</v>
      </c>
      <c r="Z97" s="68">
        <f>VLOOKUP(W97,'[1]POS_EAD_0112 a 3101_CAMP. REG)'!$F$231:$H$461,3,FALSE)</f>
        <v>12</v>
      </c>
      <c r="AA97" s="68">
        <f>VLOOKUP(W97,'[1]POS_EAD_0112 a 3101_CAMP. REG)'!$F$231:$I$461,4,FALSE)</f>
        <v>19</v>
      </c>
      <c r="AB97" s="73">
        <f>VLOOKUP(W97,'[1]POS_EAD_0112 a 3101_CAMP. REG)'!$F$231:$J$461,5,FALSE)</f>
        <v>300.91749900000002</v>
      </c>
      <c r="AC97" s="72">
        <f>VLOOKUP(W97,'[1]POS_EAD_0112 a 3101_CAMP. REG)'!$F$231:$L$461,7,FALSE)</f>
        <v>0.45</v>
      </c>
      <c r="AD97" s="73">
        <f>VLOOKUP(W97,'[1]POS_EAD_0112 a 3101_CAMP. REG)'!$F$231:$M$461,8,FALSE)</f>
        <v>148.94999999999999</v>
      </c>
      <c r="AE97" s="72">
        <f>VLOOKUP(W97,'[1]POS_EAD_0112 a 3101_CAMP. REG)'!$F$231:$P$461,11,FALSE)</f>
        <v>0.5</v>
      </c>
      <c r="AF97" s="73">
        <f>VLOOKUP(W97,'[1]POS_EAD_0112 a 3101_CAMP. REG)'!$F$231:$Q$461,12,FALSE)</f>
        <v>135.41</v>
      </c>
      <c r="AH97" s="121" t="s">
        <v>95</v>
      </c>
      <c r="AI97" s="69" t="s">
        <v>19</v>
      </c>
      <c r="AJ97" s="68" t="str">
        <f>VLOOKUP(UNG[[#This Row],[CURSO]],'[1]POS_EAD_0112 a 3101_CAMP. REG)'!$F$463:$G$688,2,FALSE)</f>
        <v>Saúde</v>
      </c>
      <c r="AK97" s="68">
        <f>VLOOKUP(UNG[[#This Row],[CURSO]],'[1]POS_EAD_0112 a 3101_CAMP. REG)'!$F$463:$H$688,3,FALSE)</f>
        <v>12</v>
      </c>
      <c r="AL97" s="68">
        <f>VLOOKUP(UNG[[#This Row],[CURSO]],'[1]POS_EAD_0112 a 3101_CAMP. REG)'!$F$463:$I$688,4,FALSE)</f>
        <v>19</v>
      </c>
      <c r="AM97" s="71">
        <f>VLOOKUP(UNG[[#This Row],[CURSO]],'[1]POS_EAD_0112 a 3101_CAMP. REG)'!$F$463:$J$688,5,FALSE)</f>
        <v>277.58266800000001</v>
      </c>
      <c r="AN97" s="124">
        <f>VLOOKUP(UNG[[#This Row],[CURSO]],'[1]POS_EAD_0112 a 3101_CAMP. REG)'!$F$463:$L$688,7,FALSE)</f>
        <v>0.45</v>
      </c>
      <c r="AO97" s="71">
        <f>VLOOKUP(UNG[[#This Row],[CURSO]],'[1]POS_EAD_0112 a 3101_CAMP. REG)'!$F$463:$M$688,8,FALSE)</f>
        <v>137.4</v>
      </c>
      <c r="AP97" s="124">
        <f>VLOOKUP(UNG[[#This Row],[CURSO]],'[1]POS_EAD_0112 a 3101_CAMP. REG)'!$F$463:$P$688,11,FALSE)</f>
        <v>0.5</v>
      </c>
      <c r="AQ97" s="71">
        <f>VLOOKUP(UNG[[#This Row],[CURSO]],'[1]POS_EAD_0112 a 3101_CAMP. REG)'!$F$463:$Q$688,12,FALSE)</f>
        <v>124.91</v>
      </c>
      <c r="AS97" s="121" t="s">
        <v>95</v>
      </c>
      <c r="AT97" s="69" t="s">
        <v>19</v>
      </c>
      <c r="AU97" s="69" t="str">
        <f>VLOOKUP(UNINASSAU[[#This Row],[CURSO]],'[1]POS_EAD_0112 a 3101_CAMP. REG)'!$F$690:$G$915,2,FALSE)</f>
        <v>Saúde</v>
      </c>
      <c r="AV97" s="69">
        <f>VLOOKUP(UNINASSAU[[#This Row],[CURSO]],'[1]POS_EAD_0112 a 3101_CAMP. REG)'!$F$690:$H$915,3,FALSE)</f>
        <v>12</v>
      </c>
      <c r="AW97" s="69">
        <f>VLOOKUP(UNINASSAU[[#This Row],[CURSO]],'[1]POS_EAD_0112 a 3101_CAMP. REG)'!$F$690:$I$915,4,FALSE)</f>
        <v>19</v>
      </c>
      <c r="AX97" s="73">
        <f>VLOOKUP(UNINASSAU[[#This Row],[CURSO]],'[1]POS_EAD_0112 a 3101_CAMP. REG)'!$F$690:$J$915,5,FALSE)</f>
        <v>277.58266800000001</v>
      </c>
      <c r="AY97" s="72">
        <f>VLOOKUP(UNINASSAU[[#This Row],[CURSO]],'[1]POS_EAD_0112 a 3101_CAMP. REG)'!$F$690:$L$915,7,FALSE)</f>
        <v>0.45</v>
      </c>
      <c r="AZ97" s="73">
        <f>VLOOKUP(UNINASSAU[[#This Row],[CURSO]],'[1]POS_EAD_0112 a 3101_CAMP. REG)'!$F$690:$N$915,8,FALSE)</f>
        <v>137.4</v>
      </c>
      <c r="BA97" s="72">
        <f>VLOOKUP(UNINASSAU[[#This Row],[CURSO]],'[1]POS_EAD_0112 a 3101_CAMP. REG)'!$F$690:$P$915,11,FALSE)</f>
        <v>0.5</v>
      </c>
      <c r="BB97" s="73">
        <f>VLOOKUP(UNINASSAU[[#This Row],[CURSO]],'[1]POS_EAD_0112 a 3101_CAMP. REG)'!$F$690:$Q$915,12,FALSE)</f>
        <v>124.91</v>
      </c>
      <c r="BD97" s="104">
        <v>94</v>
      </c>
      <c r="BE97" s="121" t="s">
        <v>95</v>
      </c>
      <c r="BF97" s="69" t="s">
        <v>19</v>
      </c>
    </row>
    <row r="98" spans="12:58" x14ac:dyDescent="0.25">
      <c r="L98" s="121" t="s">
        <v>210</v>
      </c>
      <c r="M98" s="69" t="s">
        <v>19</v>
      </c>
      <c r="N98" s="69" t="str">
        <f>VLOOKUP($L$4,'[1]POS_EAD_0112 a 3101_CAMP. REG)'!$F$5:$G$231,2,FALSE)</f>
        <v>Humanas</v>
      </c>
      <c r="O98" s="69">
        <f>VLOOKUP(L98,'[1]POS_EAD_0112 a 3101_CAMP. REG)'!$F$5:$H$231,3,FALSE)</f>
        <v>12</v>
      </c>
      <c r="P98" s="68">
        <f>VLOOKUP(L98,'[1]POS_EAD_0112 a 3101_CAMP. REG)'!$F$5:$I$231,4,FALSE)</f>
        <v>19</v>
      </c>
      <c r="Q98" s="73">
        <f>VLOOKUP(L98,'[1]POS_EAD_0112 a 3101_CAMP. REG)'!$F$5:$J$231,5,FALSE)</f>
        <v>277.58266800000001</v>
      </c>
      <c r="R98" s="124">
        <f>VLOOKUP(L98,'[1]POS_EAD_0112 a 3101_CAMP. REG)'!$F$5:$L$231,7,FALSE)</f>
        <v>0.45</v>
      </c>
      <c r="S98" s="73">
        <f>VLOOKUP(L98,'[1]POS_EAD_0112 a 3101_CAMP. REG)'!$F$5:$M$231,8,FALSE)</f>
        <v>137.4</v>
      </c>
      <c r="T98" s="124">
        <f>VLOOKUP(L98,'[1]POS_EAD_0112 a 3101_CAMP. REG)'!$F$5:$P$231,11,FALSE)</f>
        <v>0.5</v>
      </c>
      <c r="U98" s="73">
        <f>VLOOKUP(L98,'[1]POS_EAD_0112 a 3101_CAMP. REG)'!$F$5:$Q$231,12,FALSE)</f>
        <v>124.91</v>
      </c>
      <c r="W98" s="121" t="s">
        <v>210</v>
      </c>
      <c r="X98" s="69" t="s">
        <v>19</v>
      </c>
      <c r="Y98" s="69" t="str">
        <f>VLOOKUP(W98,'[1]POS_EAD_0112 a 3101_CAMP. REG)'!$F$231:$G$461,2,FALSE)</f>
        <v>Saúde</v>
      </c>
      <c r="Z98" s="68">
        <f>VLOOKUP(W98,'[1]POS_EAD_0112 a 3101_CAMP. REG)'!$F$231:$H$461,3,FALSE)</f>
        <v>12</v>
      </c>
      <c r="AA98" s="68">
        <f>VLOOKUP(W98,'[1]POS_EAD_0112 a 3101_CAMP. REG)'!$F$231:$I$461,4,FALSE)</f>
        <v>19</v>
      </c>
      <c r="AB98" s="73">
        <f>VLOOKUP(W98,'[1]POS_EAD_0112 a 3101_CAMP. REG)'!$F$231:$J$461,5,FALSE)</f>
        <v>300.91749900000002</v>
      </c>
      <c r="AC98" s="72">
        <f>VLOOKUP(W98,'[1]POS_EAD_0112 a 3101_CAMP. REG)'!$F$231:$L$461,7,FALSE)</f>
        <v>0.45</v>
      </c>
      <c r="AD98" s="73">
        <f>VLOOKUP(W98,'[1]POS_EAD_0112 a 3101_CAMP. REG)'!$F$231:$M$461,8,FALSE)</f>
        <v>148.94999999999999</v>
      </c>
      <c r="AE98" s="72">
        <f>VLOOKUP(W98,'[1]POS_EAD_0112 a 3101_CAMP. REG)'!$F$231:$P$461,11,FALSE)</f>
        <v>0.5</v>
      </c>
      <c r="AF98" s="73">
        <f>VLOOKUP(W98,'[1]POS_EAD_0112 a 3101_CAMP. REG)'!$F$231:$Q$461,12,FALSE)</f>
        <v>135.41</v>
      </c>
      <c r="AH98" s="121" t="s">
        <v>210</v>
      </c>
      <c r="AI98" s="69" t="s">
        <v>19</v>
      </c>
      <c r="AJ98" s="68" t="str">
        <f>VLOOKUP(UNG[[#This Row],[CURSO]],'[1]POS_EAD_0112 a 3101_CAMP. REG)'!$F$463:$G$688,2,FALSE)</f>
        <v>Saúde</v>
      </c>
      <c r="AK98" s="68">
        <f>VLOOKUP(UNG[[#This Row],[CURSO]],'[1]POS_EAD_0112 a 3101_CAMP. REG)'!$F$463:$H$688,3,FALSE)</f>
        <v>12</v>
      </c>
      <c r="AL98" s="68">
        <f>VLOOKUP(UNG[[#This Row],[CURSO]],'[1]POS_EAD_0112 a 3101_CAMP. REG)'!$F$463:$I$688,4,FALSE)</f>
        <v>19</v>
      </c>
      <c r="AM98" s="71">
        <f>VLOOKUP(UNG[[#This Row],[CURSO]],'[1]POS_EAD_0112 a 3101_CAMP. REG)'!$F$463:$J$688,5,FALSE)</f>
        <v>277.58266800000001</v>
      </c>
      <c r="AN98" s="124">
        <f>VLOOKUP(UNG[[#This Row],[CURSO]],'[1]POS_EAD_0112 a 3101_CAMP. REG)'!$F$463:$L$688,7,FALSE)</f>
        <v>0.45</v>
      </c>
      <c r="AO98" s="71">
        <f>VLOOKUP(UNG[[#This Row],[CURSO]],'[1]POS_EAD_0112 a 3101_CAMP. REG)'!$F$463:$M$688,8,FALSE)</f>
        <v>137.4</v>
      </c>
      <c r="AP98" s="124">
        <f>VLOOKUP(UNG[[#This Row],[CURSO]],'[1]POS_EAD_0112 a 3101_CAMP. REG)'!$F$463:$P$688,11,FALSE)</f>
        <v>0.5</v>
      </c>
      <c r="AQ98" s="71">
        <f>VLOOKUP(UNG[[#This Row],[CURSO]],'[1]POS_EAD_0112 a 3101_CAMP. REG)'!$F$463:$Q$688,12,FALSE)</f>
        <v>124.91</v>
      </c>
      <c r="AS98" s="121" t="s">
        <v>210</v>
      </c>
      <c r="AT98" s="69" t="s">
        <v>19</v>
      </c>
      <c r="AU98" s="69" t="str">
        <f>VLOOKUP(UNINASSAU[[#This Row],[CURSO]],'[1]POS_EAD_0112 a 3101_CAMP. REG)'!$F$690:$G$915,2,FALSE)</f>
        <v>Saúde</v>
      </c>
      <c r="AV98" s="69">
        <f>VLOOKUP(UNINASSAU[[#This Row],[CURSO]],'[1]POS_EAD_0112 a 3101_CAMP. REG)'!$F$690:$H$915,3,FALSE)</f>
        <v>12</v>
      </c>
      <c r="AW98" s="69">
        <f>VLOOKUP(UNINASSAU[[#This Row],[CURSO]],'[1]POS_EAD_0112 a 3101_CAMP. REG)'!$F$690:$I$915,4,FALSE)</f>
        <v>19</v>
      </c>
      <c r="AX98" s="73">
        <f>VLOOKUP(UNINASSAU[[#This Row],[CURSO]],'[1]POS_EAD_0112 a 3101_CAMP. REG)'!$F$690:$J$915,5,FALSE)</f>
        <v>277.58266800000001</v>
      </c>
      <c r="AY98" s="72">
        <f>VLOOKUP(UNINASSAU[[#This Row],[CURSO]],'[1]POS_EAD_0112 a 3101_CAMP. REG)'!$F$690:$L$915,7,FALSE)</f>
        <v>0.45</v>
      </c>
      <c r="AZ98" s="73">
        <f>VLOOKUP(UNINASSAU[[#This Row],[CURSO]],'[1]POS_EAD_0112 a 3101_CAMP. REG)'!$F$690:$N$915,8,FALSE)</f>
        <v>137.4</v>
      </c>
      <c r="BA98" s="72">
        <f>VLOOKUP(UNINASSAU[[#This Row],[CURSO]],'[1]POS_EAD_0112 a 3101_CAMP. REG)'!$F$690:$P$915,11,FALSE)</f>
        <v>0.5</v>
      </c>
      <c r="BB98" s="73">
        <f>VLOOKUP(UNINASSAU[[#This Row],[CURSO]],'[1]POS_EAD_0112 a 3101_CAMP. REG)'!$F$690:$Q$915,12,FALSE)</f>
        <v>124.91</v>
      </c>
      <c r="BD98" s="104">
        <v>95</v>
      </c>
      <c r="BE98" s="121" t="s">
        <v>210</v>
      </c>
      <c r="BF98" s="69" t="s">
        <v>19</v>
      </c>
    </row>
    <row r="99" spans="12:58" x14ac:dyDescent="0.25">
      <c r="L99" s="121" t="s">
        <v>109</v>
      </c>
      <c r="M99" s="69" t="s">
        <v>19</v>
      </c>
      <c r="N99" s="69" t="str">
        <f>VLOOKUP($L$4,'[1]POS_EAD_0112 a 3101_CAMP. REG)'!$F$5:$G$231,2,FALSE)</f>
        <v>Humanas</v>
      </c>
      <c r="O99" s="69">
        <f>VLOOKUP(L99,'[1]POS_EAD_0112 a 3101_CAMP. REG)'!$F$5:$H$231,3,FALSE)</f>
        <v>6</v>
      </c>
      <c r="P99" s="68">
        <f>VLOOKUP(L99,'[1]POS_EAD_0112 a 3101_CAMP. REG)'!$F$5:$I$231,4,FALSE)</f>
        <v>13</v>
      </c>
      <c r="Q99" s="73">
        <f>VLOOKUP(L99,'[1]POS_EAD_0112 a 3101_CAMP. REG)'!$F$5:$J$231,5,FALSE)</f>
        <v>269.33202599999998</v>
      </c>
      <c r="R99" s="124">
        <f>VLOOKUP(L99,'[1]POS_EAD_0112 a 3101_CAMP. REG)'!$F$5:$L$231,7,FALSE)</f>
        <v>0.45</v>
      </c>
      <c r="S99" s="73">
        <f>VLOOKUP(L99,'[1]POS_EAD_0112 a 3101_CAMP. REG)'!$F$5:$M$231,8,FALSE)</f>
        <v>133.32</v>
      </c>
      <c r="T99" s="124">
        <f>VLOOKUP(L99,'[1]POS_EAD_0112 a 3101_CAMP. REG)'!$F$5:$P$231,11,FALSE)</f>
        <v>0.5</v>
      </c>
      <c r="U99" s="73">
        <f>VLOOKUP(L99,'[1]POS_EAD_0112 a 3101_CAMP. REG)'!$F$5:$Q$231,12,FALSE)</f>
        <v>121.2</v>
      </c>
      <c r="W99" s="121" t="s">
        <v>109</v>
      </c>
      <c r="X99" s="69" t="s">
        <v>19</v>
      </c>
      <c r="Y99" s="69" t="str">
        <f>VLOOKUP(W99,'[1]POS_EAD_0112 a 3101_CAMP. REG)'!$F$231:$G$461,2,FALSE)</f>
        <v>Humanas</v>
      </c>
      <c r="Z99" s="68">
        <f>VLOOKUP(W99,'[1]POS_EAD_0112 a 3101_CAMP. REG)'!$F$231:$H$461,3,FALSE)</f>
        <v>6</v>
      </c>
      <c r="AA99" s="68">
        <f>VLOOKUP(W99,'[1]POS_EAD_0112 a 3101_CAMP. REG)'!$F$231:$I$461,4,FALSE)</f>
        <v>13</v>
      </c>
      <c r="AB99" s="73">
        <f>VLOOKUP(W99,'[1]POS_EAD_0112 a 3101_CAMP. REG)'!$F$231:$J$461,5,FALSE)</f>
        <v>303.42628200000001</v>
      </c>
      <c r="AC99" s="72">
        <f>VLOOKUP(W99,'[1]POS_EAD_0112 a 3101_CAMP. REG)'!$F$231:$L$461,7,FALSE)</f>
        <v>0.45</v>
      </c>
      <c r="AD99" s="73">
        <f>VLOOKUP(W99,'[1]POS_EAD_0112 a 3101_CAMP. REG)'!$F$231:$M$461,8,FALSE)</f>
        <v>150.19999999999999</v>
      </c>
      <c r="AE99" s="72">
        <f>VLOOKUP(W99,'[1]POS_EAD_0112 a 3101_CAMP. REG)'!$F$231:$P$461,11,FALSE)</f>
        <v>0.5</v>
      </c>
      <c r="AF99" s="73">
        <f>VLOOKUP(W99,'[1]POS_EAD_0112 a 3101_CAMP. REG)'!$F$231:$Q$461,12,FALSE)</f>
        <v>136.54</v>
      </c>
      <c r="AH99" s="121" t="s">
        <v>109</v>
      </c>
      <c r="AI99" s="69" t="s">
        <v>19</v>
      </c>
      <c r="AJ99" s="68" t="str">
        <f>VLOOKUP(UNG[[#This Row],[CURSO]],'[1]POS_EAD_0112 a 3101_CAMP. REG)'!$F$463:$G$688,2,FALSE)</f>
        <v>Humanas</v>
      </c>
      <c r="AK99" s="68">
        <f>VLOOKUP(UNG[[#This Row],[CURSO]],'[1]POS_EAD_0112 a 3101_CAMP. REG)'!$F$463:$H$688,3,FALSE)</f>
        <v>6</v>
      </c>
      <c r="AL99" s="68">
        <f>VLOOKUP(UNG[[#This Row],[CURSO]],'[1]POS_EAD_0112 a 3101_CAMP. REG)'!$F$463:$I$688,4,FALSE)</f>
        <v>13</v>
      </c>
      <c r="AM99" s="71">
        <f>VLOOKUP(UNG[[#This Row],[CURSO]],'[1]POS_EAD_0112 a 3101_CAMP. REG)'!$F$463:$J$688,5,FALSE)</f>
        <v>269.33202599999998</v>
      </c>
      <c r="AN99" s="124">
        <f>VLOOKUP(UNG[[#This Row],[CURSO]],'[1]POS_EAD_0112 a 3101_CAMP. REG)'!$F$463:$L$688,7,FALSE)</f>
        <v>0.45</v>
      </c>
      <c r="AO99" s="71">
        <f>VLOOKUP(UNG[[#This Row],[CURSO]],'[1]POS_EAD_0112 a 3101_CAMP. REG)'!$F$463:$M$688,8,FALSE)</f>
        <v>133.32</v>
      </c>
      <c r="AP99" s="124">
        <f>VLOOKUP(UNG[[#This Row],[CURSO]],'[1]POS_EAD_0112 a 3101_CAMP. REG)'!$F$463:$P$688,11,FALSE)</f>
        <v>0.5</v>
      </c>
      <c r="AQ99" s="71">
        <f>VLOOKUP(UNG[[#This Row],[CURSO]],'[1]POS_EAD_0112 a 3101_CAMP. REG)'!$F$463:$Q$688,12,FALSE)</f>
        <v>121.2</v>
      </c>
      <c r="AS99" s="121" t="s">
        <v>109</v>
      </c>
      <c r="AT99" s="69" t="s">
        <v>19</v>
      </c>
      <c r="AU99" s="69" t="str">
        <f>VLOOKUP(UNINASSAU[[#This Row],[CURSO]],'[1]POS_EAD_0112 a 3101_CAMP. REG)'!$F$690:$G$915,2,FALSE)</f>
        <v>Humanas</v>
      </c>
      <c r="AV99" s="69">
        <f>VLOOKUP(UNINASSAU[[#This Row],[CURSO]],'[1]POS_EAD_0112 a 3101_CAMP. REG)'!$F$690:$H$915,3,FALSE)</f>
        <v>6</v>
      </c>
      <c r="AW99" s="69">
        <f>VLOOKUP(UNINASSAU[[#This Row],[CURSO]],'[1]POS_EAD_0112 a 3101_CAMP. REG)'!$F$690:$I$915,4,FALSE)</f>
        <v>13</v>
      </c>
      <c r="AX99" s="73">
        <f>VLOOKUP(UNINASSAU[[#This Row],[CURSO]],'[1]POS_EAD_0112 a 3101_CAMP. REG)'!$F$690:$J$915,5,FALSE)</f>
        <v>269.33202599999998</v>
      </c>
      <c r="AY99" s="72">
        <f>VLOOKUP(UNINASSAU[[#This Row],[CURSO]],'[1]POS_EAD_0112 a 3101_CAMP. REG)'!$F$690:$L$915,7,FALSE)</f>
        <v>0.45</v>
      </c>
      <c r="AZ99" s="73">
        <f>VLOOKUP(UNINASSAU[[#This Row],[CURSO]],'[1]POS_EAD_0112 a 3101_CAMP. REG)'!$F$690:$N$915,8,FALSE)</f>
        <v>133.32</v>
      </c>
      <c r="BA99" s="72">
        <f>VLOOKUP(UNINASSAU[[#This Row],[CURSO]],'[1]POS_EAD_0112 a 3101_CAMP. REG)'!$F$690:$P$915,11,FALSE)</f>
        <v>0.5</v>
      </c>
      <c r="BB99" s="73">
        <f>VLOOKUP(UNINASSAU[[#This Row],[CURSO]],'[1]POS_EAD_0112 a 3101_CAMP. REG)'!$F$690:$Q$915,12,FALSE)</f>
        <v>121.2</v>
      </c>
      <c r="BD99" s="104">
        <v>96</v>
      </c>
      <c r="BE99" s="121" t="s">
        <v>109</v>
      </c>
      <c r="BF99" s="69" t="s">
        <v>19</v>
      </c>
    </row>
    <row r="100" spans="12:58" x14ac:dyDescent="0.25">
      <c r="L100" s="121" t="s">
        <v>177</v>
      </c>
      <c r="M100" s="69" t="s">
        <v>19</v>
      </c>
      <c r="N100" s="69" t="str">
        <f>VLOOKUP($L$4,'[1]POS_EAD_0112 a 3101_CAMP. REG)'!$F$5:$G$231,2,FALSE)</f>
        <v>Humanas</v>
      </c>
      <c r="O100" s="69">
        <f>VLOOKUP(L100,'[1]POS_EAD_0112 a 3101_CAMP. REG)'!$F$5:$H$231,3,FALSE)</f>
        <v>12</v>
      </c>
      <c r="P100" s="68">
        <f>VLOOKUP(L100,'[1]POS_EAD_0112 a 3101_CAMP. REG)'!$F$5:$I$231,4,FALSE)</f>
        <v>19</v>
      </c>
      <c r="Q100" s="73">
        <f>VLOOKUP(L100,'[1]POS_EAD_0112 a 3101_CAMP. REG)'!$F$5:$J$231,5,FALSE)</f>
        <v>277.58266800000001</v>
      </c>
      <c r="R100" s="124">
        <f>VLOOKUP(L100,'[1]POS_EAD_0112 a 3101_CAMP. REG)'!$F$5:$L$231,7,FALSE)</f>
        <v>0.45</v>
      </c>
      <c r="S100" s="73">
        <f>VLOOKUP(L100,'[1]POS_EAD_0112 a 3101_CAMP. REG)'!$F$5:$M$231,8,FALSE)</f>
        <v>137.4</v>
      </c>
      <c r="T100" s="124">
        <f>VLOOKUP(L100,'[1]POS_EAD_0112 a 3101_CAMP. REG)'!$F$5:$P$231,11,FALSE)</f>
        <v>0.5</v>
      </c>
      <c r="U100" s="73">
        <f>VLOOKUP(L100,'[1]POS_EAD_0112 a 3101_CAMP. REG)'!$F$5:$Q$231,12,FALSE)</f>
        <v>124.91</v>
      </c>
      <c r="W100" s="121" t="s">
        <v>177</v>
      </c>
      <c r="X100" s="69" t="s">
        <v>19</v>
      </c>
      <c r="Y100" s="69" t="str">
        <f>VLOOKUP(W100,'[1]POS_EAD_0112 a 3101_CAMP. REG)'!$F$231:$G$461,2,FALSE)</f>
        <v>Saúde</v>
      </c>
      <c r="Z100" s="68">
        <f>VLOOKUP(W100,'[1]POS_EAD_0112 a 3101_CAMP. REG)'!$F$231:$H$461,3,FALSE)</f>
        <v>12</v>
      </c>
      <c r="AA100" s="68">
        <f>VLOOKUP(W100,'[1]POS_EAD_0112 a 3101_CAMP. REG)'!$F$231:$I$461,4,FALSE)</f>
        <v>19</v>
      </c>
      <c r="AB100" s="73">
        <f>VLOOKUP(W100,'[1]POS_EAD_0112 a 3101_CAMP. REG)'!$F$231:$J$461,5,FALSE)</f>
        <v>300.91749900000002</v>
      </c>
      <c r="AC100" s="72">
        <f>VLOOKUP(W100,'[1]POS_EAD_0112 a 3101_CAMP. REG)'!$F$231:$L$461,7,FALSE)</f>
        <v>0.45</v>
      </c>
      <c r="AD100" s="73">
        <f>VLOOKUP(W100,'[1]POS_EAD_0112 a 3101_CAMP. REG)'!$F$231:$M$461,8,FALSE)</f>
        <v>148.94999999999999</v>
      </c>
      <c r="AE100" s="72">
        <f>VLOOKUP(W100,'[1]POS_EAD_0112 a 3101_CAMP. REG)'!$F$231:$P$461,11,FALSE)</f>
        <v>0.5</v>
      </c>
      <c r="AF100" s="73">
        <f>VLOOKUP(W100,'[1]POS_EAD_0112 a 3101_CAMP. REG)'!$F$231:$Q$461,12,FALSE)</f>
        <v>135.41</v>
      </c>
      <c r="AH100" s="121" t="s">
        <v>177</v>
      </c>
      <c r="AI100" s="69" t="s">
        <v>19</v>
      </c>
      <c r="AJ100" s="68" t="str">
        <f>VLOOKUP(UNG[[#This Row],[CURSO]],'[1]POS_EAD_0112 a 3101_CAMP. REG)'!$F$463:$G$688,2,FALSE)</f>
        <v>Saúde</v>
      </c>
      <c r="AK100" s="68">
        <f>VLOOKUP(UNG[[#This Row],[CURSO]],'[1]POS_EAD_0112 a 3101_CAMP. REG)'!$F$463:$H$688,3,FALSE)</f>
        <v>12</v>
      </c>
      <c r="AL100" s="68">
        <f>VLOOKUP(UNG[[#This Row],[CURSO]],'[1]POS_EAD_0112 a 3101_CAMP. REG)'!$F$463:$I$688,4,FALSE)</f>
        <v>19</v>
      </c>
      <c r="AM100" s="71">
        <f>VLOOKUP(UNG[[#This Row],[CURSO]],'[1]POS_EAD_0112 a 3101_CAMP. REG)'!$F$463:$J$688,5,FALSE)</f>
        <v>277.58266800000001</v>
      </c>
      <c r="AN100" s="124">
        <f>VLOOKUP(UNG[[#This Row],[CURSO]],'[1]POS_EAD_0112 a 3101_CAMP. REG)'!$F$463:$L$688,7,FALSE)</f>
        <v>0.45</v>
      </c>
      <c r="AO100" s="71">
        <f>VLOOKUP(UNG[[#This Row],[CURSO]],'[1]POS_EAD_0112 a 3101_CAMP. REG)'!$F$463:$M$688,8,FALSE)</f>
        <v>137.4</v>
      </c>
      <c r="AP100" s="124">
        <f>VLOOKUP(UNG[[#This Row],[CURSO]],'[1]POS_EAD_0112 a 3101_CAMP. REG)'!$F$463:$P$688,11,FALSE)</f>
        <v>0.5</v>
      </c>
      <c r="AQ100" s="71">
        <f>VLOOKUP(UNG[[#This Row],[CURSO]],'[1]POS_EAD_0112 a 3101_CAMP. REG)'!$F$463:$Q$688,12,FALSE)</f>
        <v>124.91</v>
      </c>
      <c r="AS100" s="121" t="s">
        <v>177</v>
      </c>
      <c r="AT100" s="69" t="s">
        <v>19</v>
      </c>
      <c r="AU100" s="69" t="str">
        <f>VLOOKUP(UNINASSAU[[#This Row],[CURSO]],'[1]POS_EAD_0112 a 3101_CAMP. REG)'!$F$690:$G$915,2,FALSE)</f>
        <v>Saúde</v>
      </c>
      <c r="AV100" s="69">
        <f>VLOOKUP(UNINASSAU[[#This Row],[CURSO]],'[1]POS_EAD_0112 a 3101_CAMP. REG)'!$F$690:$H$915,3,FALSE)</f>
        <v>12</v>
      </c>
      <c r="AW100" s="69">
        <f>VLOOKUP(UNINASSAU[[#This Row],[CURSO]],'[1]POS_EAD_0112 a 3101_CAMP. REG)'!$F$690:$I$915,4,FALSE)</f>
        <v>19</v>
      </c>
      <c r="AX100" s="73">
        <f>VLOOKUP(UNINASSAU[[#This Row],[CURSO]],'[1]POS_EAD_0112 a 3101_CAMP. REG)'!$F$690:$J$915,5,FALSE)</f>
        <v>277.58266800000001</v>
      </c>
      <c r="AY100" s="72">
        <f>VLOOKUP(UNINASSAU[[#This Row],[CURSO]],'[1]POS_EAD_0112 a 3101_CAMP. REG)'!$F$690:$L$915,7,FALSE)</f>
        <v>0.45</v>
      </c>
      <c r="AZ100" s="73">
        <f>VLOOKUP(UNINASSAU[[#This Row],[CURSO]],'[1]POS_EAD_0112 a 3101_CAMP. REG)'!$F$690:$N$915,8,FALSE)</f>
        <v>137.4</v>
      </c>
      <c r="BA100" s="72">
        <f>VLOOKUP(UNINASSAU[[#This Row],[CURSO]],'[1]POS_EAD_0112 a 3101_CAMP. REG)'!$F$690:$P$915,11,FALSE)</f>
        <v>0.5</v>
      </c>
      <c r="BB100" s="73">
        <f>VLOOKUP(UNINASSAU[[#This Row],[CURSO]],'[1]POS_EAD_0112 a 3101_CAMP. REG)'!$F$690:$Q$915,12,FALSE)</f>
        <v>124.91</v>
      </c>
      <c r="BD100" s="104">
        <v>97</v>
      </c>
      <c r="BE100" s="121" t="s">
        <v>177</v>
      </c>
      <c r="BF100" s="69" t="s">
        <v>19</v>
      </c>
    </row>
    <row r="101" spans="12:58" x14ac:dyDescent="0.25">
      <c r="L101" s="121" t="s">
        <v>187</v>
      </c>
      <c r="M101" s="69" t="s">
        <v>19</v>
      </c>
      <c r="N101" s="69" t="str">
        <f>VLOOKUP($L$4,'[1]POS_EAD_0112 a 3101_CAMP. REG)'!$F$5:$G$231,2,FALSE)</f>
        <v>Humanas</v>
      </c>
      <c r="O101" s="69">
        <f>VLOOKUP(L101,'[1]POS_EAD_0112 a 3101_CAMP. REG)'!$F$5:$H$231,3,FALSE)</f>
        <v>12</v>
      </c>
      <c r="P101" s="68">
        <f>VLOOKUP(L101,'[1]POS_EAD_0112 a 3101_CAMP. REG)'!$F$5:$I$231,4,FALSE)</f>
        <v>19</v>
      </c>
      <c r="Q101" s="73">
        <f>VLOOKUP(L101,'[1]POS_EAD_0112 a 3101_CAMP. REG)'!$F$5:$J$231,5,FALSE)</f>
        <v>277.58266800000001</v>
      </c>
      <c r="R101" s="124">
        <f>VLOOKUP(L101,'[1]POS_EAD_0112 a 3101_CAMP. REG)'!$F$5:$L$231,7,FALSE)</f>
        <v>0.45</v>
      </c>
      <c r="S101" s="73">
        <f>VLOOKUP(L101,'[1]POS_EAD_0112 a 3101_CAMP. REG)'!$F$5:$M$231,8,FALSE)</f>
        <v>137.4</v>
      </c>
      <c r="T101" s="124">
        <f>VLOOKUP(L101,'[1]POS_EAD_0112 a 3101_CAMP. REG)'!$F$5:$P$231,11,FALSE)</f>
        <v>0.5</v>
      </c>
      <c r="U101" s="73">
        <f>VLOOKUP(L101,'[1]POS_EAD_0112 a 3101_CAMP. REG)'!$F$5:$Q$231,12,FALSE)</f>
        <v>124.91</v>
      </c>
      <c r="W101" s="121" t="s">
        <v>187</v>
      </c>
      <c r="X101" s="69" t="s">
        <v>19</v>
      </c>
      <c r="Y101" s="69" t="str">
        <f>VLOOKUP(W101,'[1]POS_EAD_0112 a 3101_CAMP. REG)'!$F$231:$G$461,2,FALSE)</f>
        <v>Saúde</v>
      </c>
      <c r="Z101" s="68">
        <f>VLOOKUP(W101,'[1]POS_EAD_0112 a 3101_CAMP. REG)'!$F$231:$H$461,3,FALSE)</f>
        <v>12</v>
      </c>
      <c r="AA101" s="68">
        <f>VLOOKUP(W101,'[1]POS_EAD_0112 a 3101_CAMP. REG)'!$F$231:$I$461,4,FALSE)</f>
        <v>19</v>
      </c>
      <c r="AB101" s="73">
        <f>VLOOKUP(W101,'[1]POS_EAD_0112 a 3101_CAMP. REG)'!$F$231:$J$461,5,FALSE)</f>
        <v>300.91749900000002</v>
      </c>
      <c r="AC101" s="72">
        <f>VLOOKUP(W101,'[1]POS_EAD_0112 a 3101_CAMP. REG)'!$F$231:$L$461,7,FALSE)</f>
        <v>0.45</v>
      </c>
      <c r="AD101" s="73">
        <f>VLOOKUP(W101,'[1]POS_EAD_0112 a 3101_CAMP. REG)'!$F$231:$M$461,8,FALSE)</f>
        <v>148.94999999999999</v>
      </c>
      <c r="AE101" s="72">
        <f>VLOOKUP(W101,'[1]POS_EAD_0112 a 3101_CAMP. REG)'!$F$231:$P$461,11,FALSE)</f>
        <v>0.5</v>
      </c>
      <c r="AF101" s="73">
        <f>VLOOKUP(W101,'[1]POS_EAD_0112 a 3101_CAMP. REG)'!$F$231:$Q$461,12,FALSE)</f>
        <v>135.41</v>
      </c>
      <c r="AH101" s="121" t="s">
        <v>187</v>
      </c>
      <c r="AI101" s="69" t="s">
        <v>19</v>
      </c>
      <c r="AJ101" s="68" t="str">
        <f>VLOOKUP(UNG[[#This Row],[CURSO]],'[1]POS_EAD_0112 a 3101_CAMP. REG)'!$F$463:$G$688,2,FALSE)</f>
        <v>Saúde</v>
      </c>
      <c r="AK101" s="68">
        <f>VLOOKUP(UNG[[#This Row],[CURSO]],'[1]POS_EAD_0112 a 3101_CAMP. REG)'!$F$463:$H$688,3,FALSE)</f>
        <v>12</v>
      </c>
      <c r="AL101" s="68">
        <f>VLOOKUP(UNG[[#This Row],[CURSO]],'[1]POS_EAD_0112 a 3101_CAMP. REG)'!$F$463:$I$688,4,FALSE)</f>
        <v>19</v>
      </c>
      <c r="AM101" s="71">
        <f>VLOOKUP(UNG[[#This Row],[CURSO]],'[1]POS_EAD_0112 a 3101_CAMP. REG)'!$F$463:$J$688,5,FALSE)</f>
        <v>277.58266800000001</v>
      </c>
      <c r="AN101" s="124">
        <f>VLOOKUP(UNG[[#This Row],[CURSO]],'[1]POS_EAD_0112 a 3101_CAMP. REG)'!$F$463:$L$688,7,FALSE)</f>
        <v>0.45</v>
      </c>
      <c r="AO101" s="71">
        <f>VLOOKUP(UNG[[#This Row],[CURSO]],'[1]POS_EAD_0112 a 3101_CAMP. REG)'!$F$463:$M$688,8,FALSE)</f>
        <v>137.4</v>
      </c>
      <c r="AP101" s="124">
        <f>VLOOKUP(UNG[[#This Row],[CURSO]],'[1]POS_EAD_0112 a 3101_CAMP. REG)'!$F$463:$P$688,11,FALSE)</f>
        <v>0.5</v>
      </c>
      <c r="AQ101" s="71">
        <f>VLOOKUP(UNG[[#This Row],[CURSO]],'[1]POS_EAD_0112 a 3101_CAMP. REG)'!$F$463:$Q$688,12,FALSE)</f>
        <v>124.91</v>
      </c>
      <c r="AS101" s="121" t="s">
        <v>187</v>
      </c>
      <c r="AT101" s="69" t="s">
        <v>19</v>
      </c>
      <c r="AU101" s="69" t="str">
        <f>VLOOKUP(UNINASSAU[[#This Row],[CURSO]],'[1]POS_EAD_0112 a 3101_CAMP. REG)'!$F$690:$G$915,2,FALSE)</f>
        <v>Saúde</v>
      </c>
      <c r="AV101" s="69">
        <f>VLOOKUP(UNINASSAU[[#This Row],[CURSO]],'[1]POS_EAD_0112 a 3101_CAMP. REG)'!$F$690:$H$915,3,FALSE)</f>
        <v>12</v>
      </c>
      <c r="AW101" s="69">
        <f>VLOOKUP(UNINASSAU[[#This Row],[CURSO]],'[1]POS_EAD_0112 a 3101_CAMP. REG)'!$F$690:$I$915,4,FALSE)</f>
        <v>19</v>
      </c>
      <c r="AX101" s="73">
        <f>VLOOKUP(UNINASSAU[[#This Row],[CURSO]],'[1]POS_EAD_0112 a 3101_CAMP. REG)'!$F$690:$J$915,5,FALSE)</f>
        <v>277.58266800000001</v>
      </c>
      <c r="AY101" s="72">
        <f>VLOOKUP(UNINASSAU[[#This Row],[CURSO]],'[1]POS_EAD_0112 a 3101_CAMP. REG)'!$F$690:$L$915,7,FALSE)</f>
        <v>0.45</v>
      </c>
      <c r="AZ101" s="73">
        <f>VLOOKUP(UNINASSAU[[#This Row],[CURSO]],'[1]POS_EAD_0112 a 3101_CAMP. REG)'!$F$690:$N$915,8,FALSE)</f>
        <v>137.4</v>
      </c>
      <c r="BA101" s="72">
        <f>VLOOKUP(UNINASSAU[[#This Row],[CURSO]],'[1]POS_EAD_0112 a 3101_CAMP. REG)'!$F$690:$P$915,11,FALSE)</f>
        <v>0.5</v>
      </c>
      <c r="BB101" s="73">
        <f>VLOOKUP(UNINASSAU[[#This Row],[CURSO]],'[1]POS_EAD_0112 a 3101_CAMP. REG)'!$F$690:$Q$915,12,FALSE)</f>
        <v>124.91</v>
      </c>
      <c r="BD101" s="104">
        <v>98</v>
      </c>
      <c r="BE101" s="121" t="s">
        <v>187</v>
      </c>
      <c r="BF101" s="69" t="s">
        <v>19</v>
      </c>
    </row>
    <row r="102" spans="12:58" x14ac:dyDescent="0.25">
      <c r="L102" s="121" t="s">
        <v>57</v>
      </c>
      <c r="M102" s="69" t="s">
        <v>19</v>
      </c>
      <c r="N102" s="69" t="str">
        <f>VLOOKUP($L$4,'[1]POS_EAD_0112 a 3101_CAMP. REG)'!$F$5:$G$231,2,FALSE)</f>
        <v>Humanas</v>
      </c>
      <c r="O102" s="69">
        <f>VLOOKUP(L102,'[1]POS_EAD_0112 a 3101_CAMP. REG)'!$F$5:$H$231,3,FALSE)</f>
        <v>12</v>
      </c>
      <c r="P102" s="68">
        <f>VLOOKUP(L102,'[1]POS_EAD_0112 a 3101_CAMP. REG)'!$F$5:$I$231,4,FALSE)</f>
        <v>19</v>
      </c>
      <c r="Q102" s="73">
        <f>VLOOKUP(L102,'[1]POS_EAD_0112 a 3101_CAMP. REG)'!$F$5:$J$231,5,FALSE)</f>
        <v>184.28091221052631</v>
      </c>
      <c r="R102" s="124">
        <f>VLOOKUP(L102,'[1]POS_EAD_0112 a 3101_CAMP. REG)'!$F$5:$L$231,7,FALSE)</f>
        <v>0.45</v>
      </c>
      <c r="S102" s="73">
        <f>VLOOKUP(L102,'[1]POS_EAD_0112 a 3101_CAMP. REG)'!$F$5:$M$231,8,FALSE)</f>
        <v>91.22</v>
      </c>
      <c r="T102" s="124">
        <f>VLOOKUP(L102,'[1]POS_EAD_0112 a 3101_CAMP. REG)'!$F$5:$P$231,11,FALSE)</f>
        <v>0.5</v>
      </c>
      <c r="U102" s="73">
        <f>VLOOKUP(L102,'[1]POS_EAD_0112 a 3101_CAMP. REG)'!$F$5:$Q$231,12,FALSE)</f>
        <v>82.93</v>
      </c>
      <c r="W102" s="121" t="s">
        <v>57</v>
      </c>
      <c r="X102" s="69" t="s">
        <v>19</v>
      </c>
      <c r="Y102" s="69" t="str">
        <f>VLOOKUP(W102,'[1]POS_EAD_0112 a 3101_CAMP. REG)'!$F$231:$G$461,2,FALSE)</f>
        <v>Exatas</v>
      </c>
      <c r="Z102" s="68">
        <f>VLOOKUP(W102,'[1]POS_EAD_0112 a 3101_CAMP. REG)'!$F$231:$H$461,3,FALSE)</f>
        <v>12</v>
      </c>
      <c r="AA102" s="68">
        <f>VLOOKUP(W102,'[1]POS_EAD_0112 a 3101_CAMP. REG)'!$F$231:$I$461,4,FALSE)</f>
        <v>19</v>
      </c>
      <c r="AB102" s="73">
        <f>VLOOKUP(W102,'[1]POS_EAD_0112 a 3101_CAMP. REG)'!$F$231:$J$461,5,FALSE)</f>
        <v>207.609666</v>
      </c>
      <c r="AC102" s="72">
        <f>VLOOKUP(W102,'[1]POS_EAD_0112 a 3101_CAMP. REG)'!$F$231:$L$461,7,FALSE)</f>
        <v>0.45</v>
      </c>
      <c r="AD102" s="73">
        <f>VLOOKUP(W102,'[1]POS_EAD_0112 a 3101_CAMP. REG)'!$F$231:$M$461,8,FALSE)</f>
        <v>102.77</v>
      </c>
      <c r="AE102" s="72">
        <f>VLOOKUP(W102,'[1]POS_EAD_0112 a 3101_CAMP. REG)'!$F$231:$P$461,11,FALSE)</f>
        <v>0.5</v>
      </c>
      <c r="AF102" s="73">
        <f>VLOOKUP(W102,'[1]POS_EAD_0112 a 3101_CAMP. REG)'!$F$231:$Q$461,12,FALSE)</f>
        <v>93.42</v>
      </c>
      <c r="AH102" s="121" t="s">
        <v>57</v>
      </c>
      <c r="AI102" s="69" t="s">
        <v>19</v>
      </c>
      <c r="AJ102" s="68" t="str">
        <f>VLOOKUP(UNG[[#This Row],[CURSO]],'[1]POS_EAD_0112 a 3101_CAMP. REG)'!$F$463:$G$688,2,FALSE)</f>
        <v>Exatas</v>
      </c>
      <c r="AK102" s="68">
        <f>VLOOKUP(UNG[[#This Row],[CURSO]],'[1]POS_EAD_0112 a 3101_CAMP. REG)'!$F$463:$H$688,3,FALSE)</f>
        <v>12</v>
      </c>
      <c r="AL102" s="68">
        <f>VLOOKUP(UNG[[#This Row],[CURSO]],'[1]POS_EAD_0112 a 3101_CAMP. REG)'!$F$463:$I$688,4,FALSE)</f>
        <v>19</v>
      </c>
      <c r="AM102" s="71">
        <f>VLOOKUP(UNG[[#This Row],[CURSO]],'[1]POS_EAD_0112 a 3101_CAMP. REG)'!$F$463:$J$688,5,FALSE)</f>
        <v>184.28091221052631</v>
      </c>
      <c r="AN102" s="124">
        <f>VLOOKUP(UNG[[#This Row],[CURSO]],'[1]POS_EAD_0112 a 3101_CAMP. REG)'!$F$463:$L$688,7,FALSE)</f>
        <v>0.45</v>
      </c>
      <c r="AO102" s="71">
        <f>VLOOKUP(UNG[[#This Row],[CURSO]],'[1]POS_EAD_0112 a 3101_CAMP. REG)'!$F$463:$M$688,8,FALSE)</f>
        <v>91.22</v>
      </c>
      <c r="AP102" s="124">
        <f>VLOOKUP(UNG[[#This Row],[CURSO]],'[1]POS_EAD_0112 a 3101_CAMP. REG)'!$F$463:$P$688,11,FALSE)</f>
        <v>0.5</v>
      </c>
      <c r="AQ102" s="71">
        <f>VLOOKUP(UNG[[#This Row],[CURSO]],'[1]POS_EAD_0112 a 3101_CAMP. REG)'!$F$463:$Q$688,12,FALSE)</f>
        <v>82.93</v>
      </c>
      <c r="AS102" s="121" t="s">
        <v>57</v>
      </c>
      <c r="AT102" s="69" t="s">
        <v>19</v>
      </c>
      <c r="AU102" s="69" t="str">
        <f>VLOOKUP(UNINASSAU[[#This Row],[CURSO]],'[1]POS_EAD_0112 a 3101_CAMP. REG)'!$F$690:$G$915,2,FALSE)</f>
        <v>Exatas</v>
      </c>
      <c r="AV102" s="69">
        <f>VLOOKUP(UNINASSAU[[#This Row],[CURSO]],'[1]POS_EAD_0112 a 3101_CAMP. REG)'!$F$690:$H$915,3,FALSE)</f>
        <v>12</v>
      </c>
      <c r="AW102" s="69">
        <f>VLOOKUP(UNINASSAU[[#This Row],[CURSO]],'[1]POS_EAD_0112 a 3101_CAMP. REG)'!$F$690:$I$915,4,FALSE)</f>
        <v>19</v>
      </c>
      <c r="AX102" s="73">
        <f>VLOOKUP(UNINASSAU[[#This Row],[CURSO]],'[1]POS_EAD_0112 a 3101_CAMP. REG)'!$F$690:$J$915,5,FALSE)</f>
        <v>184.28091221052631</v>
      </c>
      <c r="AY102" s="72">
        <f>VLOOKUP(UNINASSAU[[#This Row],[CURSO]],'[1]POS_EAD_0112 a 3101_CAMP. REG)'!$F$690:$L$915,7,FALSE)</f>
        <v>0.45</v>
      </c>
      <c r="AZ102" s="73">
        <f>VLOOKUP(UNINASSAU[[#This Row],[CURSO]],'[1]POS_EAD_0112 a 3101_CAMP. REG)'!$F$690:$N$915,8,FALSE)</f>
        <v>91.22</v>
      </c>
      <c r="BA102" s="72">
        <f>VLOOKUP(UNINASSAU[[#This Row],[CURSO]],'[1]POS_EAD_0112 a 3101_CAMP. REG)'!$F$690:$P$915,11,FALSE)</f>
        <v>0.5</v>
      </c>
      <c r="BB102" s="73">
        <f>VLOOKUP(UNINASSAU[[#This Row],[CURSO]],'[1]POS_EAD_0112 a 3101_CAMP. REG)'!$F$690:$Q$915,12,FALSE)</f>
        <v>82.93</v>
      </c>
      <c r="BD102" s="104">
        <v>99</v>
      </c>
      <c r="BE102" s="121" t="s">
        <v>57</v>
      </c>
      <c r="BF102" s="69" t="s">
        <v>19</v>
      </c>
    </row>
    <row r="103" spans="12:58" x14ac:dyDescent="0.25">
      <c r="L103" s="121" t="s">
        <v>175</v>
      </c>
      <c r="M103" s="69" t="s">
        <v>19</v>
      </c>
      <c r="N103" s="69" t="str">
        <f>VLOOKUP($L$4,'[1]POS_EAD_0112 a 3101_CAMP. REG)'!$F$5:$G$231,2,FALSE)</f>
        <v>Humanas</v>
      </c>
      <c r="O103" s="69">
        <f>VLOOKUP(L103,'[1]POS_EAD_0112 a 3101_CAMP. REG)'!$F$5:$H$231,3,FALSE)</f>
        <v>12</v>
      </c>
      <c r="P103" s="68">
        <f>VLOOKUP(L103,'[1]POS_EAD_0112 a 3101_CAMP. REG)'!$F$5:$I$231,4,FALSE)</f>
        <v>19</v>
      </c>
      <c r="Q103" s="73">
        <f>VLOOKUP(L103,'[1]POS_EAD_0112 a 3101_CAMP. REG)'!$F$5:$J$231,5,FALSE)</f>
        <v>184.28091221052631</v>
      </c>
      <c r="R103" s="124">
        <f>VLOOKUP(L103,'[1]POS_EAD_0112 a 3101_CAMP. REG)'!$F$5:$L$231,7,FALSE)</f>
        <v>0.45</v>
      </c>
      <c r="S103" s="73">
        <f>VLOOKUP(L103,'[1]POS_EAD_0112 a 3101_CAMP. REG)'!$F$5:$M$231,8,FALSE)</f>
        <v>91.22</v>
      </c>
      <c r="T103" s="124">
        <f>VLOOKUP(L103,'[1]POS_EAD_0112 a 3101_CAMP. REG)'!$F$5:$P$231,11,FALSE)</f>
        <v>0.5</v>
      </c>
      <c r="U103" s="73">
        <f>VLOOKUP(L103,'[1]POS_EAD_0112 a 3101_CAMP. REG)'!$F$5:$Q$231,12,FALSE)</f>
        <v>82.93</v>
      </c>
      <c r="W103" s="121" t="s">
        <v>175</v>
      </c>
      <c r="X103" s="69" t="s">
        <v>19</v>
      </c>
      <c r="Y103" s="69" t="str">
        <f>VLOOKUP(W103,'[1]POS_EAD_0112 a 3101_CAMP. REG)'!$F$231:$G$461,2,FALSE)</f>
        <v>Humanas</v>
      </c>
      <c r="Z103" s="68">
        <f>VLOOKUP(W103,'[1]POS_EAD_0112 a 3101_CAMP. REG)'!$F$231:$H$461,3,FALSE)</f>
        <v>12</v>
      </c>
      <c r="AA103" s="68">
        <f>VLOOKUP(W103,'[1]POS_EAD_0112 a 3101_CAMP. REG)'!$F$231:$I$461,4,FALSE)</f>
        <v>19</v>
      </c>
      <c r="AB103" s="73">
        <f>VLOOKUP(W103,'[1]POS_EAD_0112 a 3101_CAMP. REG)'!$F$231:$J$461,5,FALSE)</f>
        <v>207.609666</v>
      </c>
      <c r="AC103" s="72">
        <f>VLOOKUP(W103,'[1]POS_EAD_0112 a 3101_CAMP. REG)'!$F$231:$L$461,7,FALSE)</f>
        <v>0.45</v>
      </c>
      <c r="AD103" s="73">
        <f>VLOOKUP(W103,'[1]POS_EAD_0112 a 3101_CAMP. REG)'!$F$231:$M$461,8,FALSE)</f>
        <v>102.77</v>
      </c>
      <c r="AE103" s="72">
        <f>VLOOKUP(W103,'[1]POS_EAD_0112 a 3101_CAMP. REG)'!$F$231:$P$461,11,FALSE)</f>
        <v>0.5</v>
      </c>
      <c r="AF103" s="73">
        <f>VLOOKUP(W103,'[1]POS_EAD_0112 a 3101_CAMP. REG)'!$F$231:$Q$461,12,FALSE)</f>
        <v>93.42</v>
      </c>
      <c r="AH103" s="121" t="s">
        <v>175</v>
      </c>
      <c r="AI103" s="69" t="s">
        <v>19</v>
      </c>
      <c r="AJ103" s="68" t="str">
        <f>VLOOKUP(UNG[[#This Row],[CURSO]],'[1]POS_EAD_0112 a 3101_CAMP. REG)'!$F$463:$G$688,2,FALSE)</f>
        <v>Humanas</v>
      </c>
      <c r="AK103" s="68">
        <f>VLOOKUP(UNG[[#This Row],[CURSO]],'[1]POS_EAD_0112 a 3101_CAMP. REG)'!$F$463:$H$688,3,FALSE)</f>
        <v>12</v>
      </c>
      <c r="AL103" s="68">
        <f>VLOOKUP(UNG[[#This Row],[CURSO]],'[1]POS_EAD_0112 a 3101_CAMP. REG)'!$F$463:$I$688,4,FALSE)</f>
        <v>19</v>
      </c>
      <c r="AM103" s="71">
        <f>VLOOKUP(UNG[[#This Row],[CURSO]],'[1]POS_EAD_0112 a 3101_CAMP. REG)'!$F$463:$J$688,5,FALSE)</f>
        <v>184.28091221052631</v>
      </c>
      <c r="AN103" s="124">
        <f>VLOOKUP(UNG[[#This Row],[CURSO]],'[1]POS_EAD_0112 a 3101_CAMP. REG)'!$F$463:$L$688,7,FALSE)</f>
        <v>0.45</v>
      </c>
      <c r="AO103" s="71">
        <f>VLOOKUP(UNG[[#This Row],[CURSO]],'[1]POS_EAD_0112 a 3101_CAMP. REG)'!$F$463:$M$688,8,FALSE)</f>
        <v>91.22</v>
      </c>
      <c r="AP103" s="124">
        <f>VLOOKUP(UNG[[#This Row],[CURSO]],'[1]POS_EAD_0112 a 3101_CAMP. REG)'!$F$463:$P$688,11,FALSE)</f>
        <v>0.5</v>
      </c>
      <c r="AQ103" s="71">
        <f>VLOOKUP(UNG[[#This Row],[CURSO]],'[1]POS_EAD_0112 a 3101_CAMP. REG)'!$F$463:$Q$688,12,FALSE)</f>
        <v>82.93</v>
      </c>
      <c r="AS103" s="121" t="s">
        <v>175</v>
      </c>
      <c r="AT103" s="69" t="s">
        <v>19</v>
      </c>
      <c r="AU103" s="69" t="str">
        <f>VLOOKUP(UNINASSAU[[#This Row],[CURSO]],'[1]POS_EAD_0112 a 3101_CAMP. REG)'!$F$690:$G$915,2,FALSE)</f>
        <v>Humanas</v>
      </c>
      <c r="AV103" s="69">
        <f>VLOOKUP(UNINASSAU[[#This Row],[CURSO]],'[1]POS_EAD_0112 a 3101_CAMP. REG)'!$F$690:$H$915,3,FALSE)</f>
        <v>12</v>
      </c>
      <c r="AW103" s="69">
        <f>VLOOKUP(UNINASSAU[[#This Row],[CURSO]],'[1]POS_EAD_0112 a 3101_CAMP. REG)'!$F$690:$I$915,4,FALSE)</f>
        <v>19</v>
      </c>
      <c r="AX103" s="73">
        <f>VLOOKUP(UNINASSAU[[#This Row],[CURSO]],'[1]POS_EAD_0112 a 3101_CAMP. REG)'!$F$690:$J$915,5,FALSE)</f>
        <v>184.28091221052631</v>
      </c>
      <c r="AY103" s="72">
        <f>VLOOKUP(UNINASSAU[[#This Row],[CURSO]],'[1]POS_EAD_0112 a 3101_CAMP. REG)'!$F$690:$L$915,7,FALSE)</f>
        <v>0.45</v>
      </c>
      <c r="AZ103" s="73">
        <f>VLOOKUP(UNINASSAU[[#This Row],[CURSO]],'[1]POS_EAD_0112 a 3101_CAMP. REG)'!$F$690:$N$915,8,FALSE)</f>
        <v>91.22</v>
      </c>
      <c r="BA103" s="72">
        <f>VLOOKUP(UNINASSAU[[#This Row],[CURSO]],'[1]POS_EAD_0112 a 3101_CAMP. REG)'!$F$690:$P$915,11,FALSE)</f>
        <v>0.5</v>
      </c>
      <c r="BB103" s="73">
        <f>VLOOKUP(UNINASSAU[[#This Row],[CURSO]],'[1]POS_EAD_0112 a 3101_CAMP. REG)'!$F$690:$Q$915,12,FALSE)</f>
        <v>82.93</v>
      </c>
      <c r="BD103" s="104">
        <v>100</v>
      </c>
      <c r="BE103" s="121" t="s">
        <v>175</v>
      </c>
      <c r="BF103" s="69" t="s">
        <v>19</v>
      </c>
    </row>
    <row r="104" spans="12:58" x14ac:dyDescent="0.25">
      <c r="L104" s="121" t="s">
        <v>111</v>
      </c>
      <c r="M104" s="69" t="s">
        <v>19</v>
      </c>
      <c r="N104" s="69" t="str">
        <f>VLOOKUP($L$4,'[1]POS_EAD_0112 a 3101_CAMP. REG)'!$F$5:$G$231,2,FALSE)</f>
        <v>Humanas</v>
      </c>
      <c r="O104" s="69">
        <f>VLOOKUP(L104,'[1]POS_EAD_0112 a 3101_CAMP. REG)'!$F$5:$H$231,3,FALSE)</f>
        <v>6</v>
      </c>
      <c r="P104" s="68">
        <f>VLOOKUP(L104,'[1]POS_EAD_0112 a 3101_CAMP. REG)'!$F$5:$I$231,4,FALSE)</f>
        <v>13</v>
      </c>
      <c r="Q104" s="73">
        <f>VLOOKUP(L104,'[1]POS_EAD_0112 a 3101_CAMP. REG)'!$F$5:$J$231,5,FALSE)</f>
        <v>405.70905000000005</v>
      </c>
      <c r="R104" s="124">
        <f>VLOOKUP(L104,'[1]POS_EAD_0112 a 3101_CAMP. REG)'!$F$5:$L$231,7,FALSE)</f>
        <v>0.45</v>
      </c>
      <c r="S104" s="73">
        <f>VLOOKUP(L104,'[1]POS_EAD_0112 a 3101_CAMP. REG)'!$F$5:$M$231,8,FALSE)</f>
        <v>200.83</v>
      </c>
      <c r="T104" s="124">
        <f>VLOOKUP(L104,'[1]POS_EAD_0112 a 3101_CAMP. REG)'!$F$5:$P$231,11,FALSE)</f>
        <v>0.5</v>
      </c>
      <c r="U104" s="73">
        <f>VLOOKUP(L104,'[1]POS_EAD_0112 a 3101_CAMP. REG)'!$F$5:$Q$231,12,FALSE)</f>
        <v>182.57</v>
      </c>
      <c r="W104" s="121" t="s">
        <v>111</v>
      </c>
      <c r="X104" s="69" t="s">
        <v>19</v>
      </c>
      <c r="Y104" s="69" t="str">
        <f>VLOOKUP(W104,'[1]POS_EAD_0112 a 3101_CAMP. REG)'!$F$231:$G$461,2,FALSE)</f>
        <v>Negócios</v>
      </c>
      <c r="Z104" s="68">
        <f>VLOOKUP(W104,'[1]POS_EAD_0112 a 3101_CAMP. REG)'!$F$231:$H$461,3,FALSE)</f>
        <v>6</v>
      </c>
      <c r="AA104" s="68">
        <f>VLOOKUP(W104,'[1]POS_EAD_0112 a 3101_CAMP. REG)'!$F$231:$I$461,4,FALSE)</f>
        <v>13</v>
      </c>
      <c r="AB104" s="73">
        <f>VLOOKUP(W104,'[1]POS_EAD_0112 a 3101_CAMP. REG)'!$F$231:$J$461,5,FALSE)</f>
        <v>439.79280900000003</v>
      </c>
      <c r="AC104" s="72">
        <f>VLOOKUP(W104,'[1]POS_EAD_0112 a 3101_CAMP. REG)'!$F$231:$L$461,7,FALSE)</f>
        <v>0.45</v>
      </c>
      <c r="AD104" s="73">
        <f>VLOOKUP(W104,'[1]POS_EAD_0112 a 3101_CAMP. REG)'!$F$231:$M$461,8,FALSE)</f>
        <v>217.7</v>
      </c>
      <c r="AE104" s="72">
        <f>VLOOKUP(W104,'[1]POS_EAD_0112 a 3101_CAMP. REG)'!$F$231:$P$461,11,FALSE)</f>
        <v>0.5</v>
      </c>
      <c r="AF104" s="73">
        <f>VLOOKUP(W104,'[1]POS_EAD_0112 a 3101_CAMP. REG)'!$F$231:$Q$461,12,FALSE)</f>
        <v>197.91</v>
      </c>
      <c r="AH104" s="121" t="s">
        <v>111</v>
      </c>
      <c r="AI104" s="69" t="s">
        <v>19</v>
      </c>
      <c r="AJ104" s="68" t="str">
        <f>VLOOKUP(UNG[[#This Row],[CURSO]],'[1]POS_EAD_0112 a 3101_CAMP. REG)'!$F$463:$G$688,2,FALSE)</f>
        <v>Negócios</v>
      </c>
      <c r="AK104" s="68">
        <f>VLOOKUP(UNG[[#This Row],[CURSO]],'[1]POS_EAD_0112 a 3101_CAMP. REG)'!$F$463:$H$688,3,FALSE)</f>
        <v>6</v>
      </c>
      <c r="AL104" s="68">
        <f>VLOOKUP(UNG[[#This Row],[CURSO]],'[1]POS_EAD_0112 a 3101_CAMP. REG)'!$F$463:$I$688,4,FALSE)</f>
        <v>13</v>
      </c>
      <c r="AM104" s="71">
        <f>VLOOKUP(UNG[[#This Row],[CURSO]],'[1]POS_EAD_0112 a 3101_CAMP. REG)'!$F$463:$J$688,5,FALSE)</f>
        <v>405.70905000000005</v>
      </c>
      <c r="AN104" s="124">
        <f>VLOOKUP(UNG[[#This Row],[CURSO]],'[1]POS_EAD_0112 a 3101_CAMP. REG)'!$F$463:$L$688,7,FALSE)</f>
        <v>0.45</v>
      </c>
      <c r="AO104" s="71">
        <f>VLOOKUP(UNG[[#This Row],[CURSO]],'[1]POS_EAD_0112 a 3101_CAMP. REG)'!$F$463:$M$688,8,FALSE)</f>
        <v>200.83</v>
      </c>
      <c r="AP104" s="124">
        <f>VLOOKUP(UNG[[#This Row],[CURSO]],'[1]POS_EAD_0112 a 3101_CAMP. REG)'!$F$463:$P$688,11,FALSE)</f>
        <v>0.5</v>
      </c>
      <c r="AQ104" s="71">
        <f>VLOOKUP(UNG[[#This Row],[CURSO]],'[1]POS_EAD_0112 a 3101_CAMP. REG)'!$F$463:$Q$688,12,FALSE)</f>
        <v>182.57</v>
      </c>
      <c r="AS104" s="121" t="s">
        <v>111</v>
      </c>
      <c r="AT104" s="69" t="s">
        <v>19</v>
      </c>
      <c r="AU104" s="69" t="str">
        <f>VLOOKUP(UNINASSAU[[#This Row],[CURSO]],'[1]POS_EAD_0112 a 3101_CAMP. REG)'!$F$690:$G$915,2,FALSE)</f>
        <v>Negócios</v>
      </c>
      <c r="AV104" s="69">
        <f>VLOOKUP(UNINASSAU[[#This Row],[CURSO]],'[1]POS_EAD_0112 a 3101_CAMP. REG)'!$F$690:$H$915,3,FALSE)</f>
        <v>6</v>
      </c>
      <c r="AW104" s="69">
        <f>VLOOKUP(UNINASSAU[[#This Row],[CURSO]],'[1]POS_EAD_0112 a 3101_CAMP. REG)'!$F$690:$I$915,4,FALSE)</f>
        <v>13</v>
      </c>
      <c r="AX104" s="73">
        <f>VLOOKUP(UNINASSAU[[#This Row],[CURSO]],'[1]POS_EAD_0112 a 3101_CAMP. REG)'!$F$690:$J$915,5,FALSE)</f>
        <v>405.70905000000005</v>
      </c>
      <c r="AY104" s="72">
        <f>VLOOKUP(UNINASSAU[[#This Row],[CURSO]],'[1]POS_EAD_0112 a 3101_CAMP. REG)'!$F$690:$L$915,7,FALSE)</f>
        <v>0.45</v>
      </c>
      <c r="AZ104" s="73">
        <f>VLOOKUP(UNINASSAU[[#This Row],[CURSO]],'[1]POS_EAD_0112 a 3101_CAMP. REG)'!$F$690:$N$915,8,FALSE)</f>
        <v>200.83</v>
      </c>
      <c r="BA104" s="72">
        <f>VLOOKUP(UNINASSAU[[#This Row],[CURSO]],'[1]POS_EAD_0112 a 3101_CAMP. REG)'!$F$690:$P$915,11,FALSE)</f>
        <v>0.5</v>
      </c>
      <c r="BB104" s="73">
        <f>VLOOKUP(UNINASSAU[[#This Row],[CURSO]],'[1]POS_EAD_0112 a 3101_CAMP. REG)'!$F$690:$Q$915,12,FALSE)</f>
        <v>182.57</v>
      </c>
      <c r="BD104" s="104">
        <v>101</v>
      </c>
      <c r="BE104" s="121" t="s">
        <v>111</v>
      </c>
      <c r="BF104" s="69" t="s">
        <v>19</v>
      </c>
    </row>
    <row r="105" spans="12:58" x14ac:dyDescent="0.25">
      <c r="L105" s="121" t="s">
        <v>59</v>
      </c>
      <c r="M105" s="69" t="s">
        <v>19</v>
      </c>
      <c r="N105" s="69" t="str">
        <f>VLOOKUP($L$4,'[1]POS_EAD_0112 a 3101_CAMP. REG)'!$F$5:$G$231,2,FALSE)</f>
        <v>Humanas</v>
      </c>
      <c r="O105" s="69">
        <f>VLOOKUP(L105,'[1]POS_EAD_0112 a 3101_CAMP. REG)'!$F$5:$H$231,3,FALSE)</f>
        <v>6</v>
      </c>
      <c r="P105" s="68">
        <f>VLOOKUP(L105,'[1]POS_EAD_0112 a 3101_CAMP. REG)'!$F$5:$I$231,4,FALSE)</f>
        <v>13</v>
      </c>
      <c r="Q105" s="73">
        <f>VLOOKUP(L105,'[1]POS_EAD_0112 a 3101_CAMP. REG)'!$F$5:$J$231,5,FALSE)</f>
        <v>405.70905000000005</v>
      </c>
      <c r="R105" s="124">
        <f>VLOOKUP(L105,'[1]POS_EAD_0112 a 3101_CAMP. REG)'!$F$5:$L$231,7,FALSE)</f>
        <v>0.45</v>
      </c>
      <c r="S105" s="73">
        <f>VLOOKUP(L105,'[1]POS_EAD_0112 a 3101_CAMP. REG)'!$F$5:$M$231,8,FALSE)</f>
        <v>200.83</v>
      </c>
      <c r="T105" s="124">
        <f>VLOOKUP(L105,'[1]POS_EAD_0112 a 3101_CAMP. REG)'!$F$5:$P$231,11,FALSE)</f>
        <v>0.5</v>
      </c>
      <c r="U105" s="73">
        <f>VLOOKUP(L105,'[1]POS_EAD_0112 a 3101_CAMP. REG)'!$F$5:$Q$231,12,FALSE)</f>
        <v>182.57</v>
      </c>
      <c r="W105" s="121" t="s">
        <v>59</v>
      </c>
      <c r="X105" s="69" t="s">
        <v>19</v>
      </c>
      <c r="Y105" s="69" t="str">
        <f>VLOOKUP(W105,'[1]POS_EAD_0112 a 3101_CAMP. REG)'!$F$231:$G$461,2,FALSE)</f>
        <v>Exatas</v>
      </c>
      <c r="Z105" s="68">
        <f>VLOOKUP(W105,'[1]POS_EAD_0112 a 3101_CAMP. REG)'!$F$231:$H$461,3,FALSE)</f>
        <v>6</v>
      </c>
      <c r="AA105" s="68">
        <f>VLOOKUP(W105,'[1]POS_EAD_0112 a 3101_CAMP. REG)'!$F$231:$I$461,4,FALSE)</f>
        <v>13</v>
      </c>
      <c r="AB105" s="73">
        <f>VLOOKUP(W105,'[1]POS_EAD_0112 a 3101_CAMP. REG)'!$F$231:$J$461,5,FALSE)</f>
        <v>439.79280900000003</v>
      </c>
      <c r="AC105" s="72">
        <f>VLOOKUP(W105,'[1]POS_EAD_0112 a 3101_CAMP. REG)'!$F$231:$L$461,7,FALSE)</f>
        <v>0.45</v>
      </c>
      <c r="AD105" s="73">
        <f>VLOOKUP(W105,'[1]POS_EAD_0112 a 3101_CAMP. REG)'!$F$231:$M$461,8,FALSE)</f>
        <v>217.7</v>
      </c>
      <c r="AE105" s="72">
        <f>VLOOKUP(W105,'[1]POS_EAD_0112 a 3101_CAMP. REG)'!$F$231:$P$461,11,FALSE)</f>
        <v>0.5</v>
      </c>
      <c r="AF105" s="73">
        <f>VLOOKUP(W105,'[1]POS_EAD_0112 a 3101_CAMP. REG)'!$F$231:$Q$461,12,FALSE)</f>
        <v>197.91</v>
      </c>
      <c r="AH105" s="121" t="s">
        <v>59</v>
      </c>
      <c r="AI105" s="69" t="s">
        <v>19</v>
      </c>
      <c r="AJ105" s="68" t="str">
        <f>VLOOKUP(UNG[[#This Row],[CURSO]],'[1]POS_EAD_0112 a 3101_CAMP. REG)'!$F$463:$G$688,2,FALSE)</f>
        <v>Exatas</v>
      </c>
      <c r="AK105" s="68">
        <f>VLOOKUP(UNG[[#This Row],[CURSO]],'[1]POS_EAD_0112 a 3101_CAMP. REG)'!$F$463:$H$688,3,FALSE)</f>
        <v>6</v>
      </c>
      <c r="AL105" s="68">
        <f>VLOOKUP(UNG[[#This Row],[CURSO]],'[1]POS_EAD_0112 a 3101_CAMP. REG)'!$F$463:$I$688,4,FALSE)</f>
        <v>13</v>
      </c>
      <c r="AM105" s="71">
        <f>VLOOKUP(UNG[[#This Row],[CURSO]],'[1]POS_EAD_0112 a 3101_CAMP. REG)'!$F$463:$J$688,5,FALSE)</f>
        <v>405.70905000000005</v>
      </c>
      <c r="AN105" s="124">
        <f>VLOOKUP(UNG[[#This Row],[CURSO]],'[1]POS_EAD_0112 a 3101_CAMP. REG)'!$F$463:$L$688,7,FALSE)</f>
        <v>0.45</v>
      </c>
      <c r="AO105" s="71">
        <f>VLOOKUP(UNG[[#This Row],[CURSO]],'[1]POS_EAD_0112 a 3101_CAMP. REG)'!$F$463:$M$688,8,FALSE)</f>
        <v>200.83</v>
      </c>
      <c r="AP105" s="124">
        <f>VLOOKUP(UNG[[#This Row],[CURSO]],'[1]POS_EAD_0112 a 3101_CAMP. REG)'!$F$463:$P$688,11,FALSE)</f>
        <v>0.5</v>
      </c>
      <c r="AQ105" s="71">
        <f>VLOOKUP(UNG[[#This Row],[CURSO]],'[1]POS_EAD_0112 a 3101_CAMP. REG)'!$F$463:$Q$688,12,FALSE)</f>
        <v>182.57</v>
      </c>
      <c r="AS105" s="121" t="s">
        <v>59</v>
      </c>
      <c r="AT105" s="69" t="s">
        <v>19</v>
      </c>
      <c r="AU105" s="69" t="str">
        <f>VLOOKUP(UNINASSAU[[#This Row],[CURSO]],'[1]POS_EAD_0112 a 3101_CAMP. REG)'!$F$690:$G$915,2,FALSE)</f>
        <v>Exatas</v>
      </c>
      <c r="AV105" s="69">
        <f>VLOOKUP(UNINASSAU[[#This Row],[CURSO]],'[1]POS_EAD_0112 a 3101_CAMP. REG)'!$F$690:$H$915,3,FALSE)</f>
        <v>6</v>
      </c>
      <c r="AW105" s="69">
        <f>VLOOKUP(UNINASSAU[[#This Row],[CURSO]],'[1]POS_EAD_0112 a 3101_CAMP. REG)'!$F$690:$I$915,4,FALSE)</f>
        <v>13</v>
      </c>
      <c r="AX105" s="73">
        <f>VLOOKUP(UNINASSAU[[#This Row],[CURSO]],'[1]POS_EAD_0112 a 3101_CAMP. REG)'!$F$690:$J$915,5,FALSE)</f>
        <v>405.70905000000005</v>
      </c>
      <c r="AY105" s="72">
        <f>VLOOKUP(UNINASSAU[[#This Row],[CURSO]],'[1]POS_EAD_0112 a 3101_CAMP. REG)'!$F$690:$L$915,7,FALSE)</f>
        <v>0.45</v>
      </c>
      <c r="AZ105" s="73">
        <f>VLOOKUP(UNINASSAU[[#This Row],[CURSO]],'[1]POS_EAD_0112 a 3101_CAMP. REG)'!$F$690:$N$915,8,FALSE)</f>
        <v>200.83</v>
      </c>
      <c r="BA105" s="72">
        <f>VLOOKUP(UNINASSAU[[#This Row],[CURSO]],'[1]POS_EAD_0112 a 3101_CAMP. REG)'!$F$690:$P$915,11,FALSE)</f>
        <v>0.5</v>
      </c>
      <c r="BB105" s="73">
        <f>VLOOKUP(UNINASSAU[[#This Row],[CURSO]],'[1]POS_EAD_0112 a 3101_CAMP. REG)'!$F$690:$Q$915,12,FALSE)</f>
        <v>182.57</v>
      </c>
      <c r="BD105" s="104">
        <v>102</v>
      </c>
      <c r="BE105" s="121" t="s">
        <v>59</v>
      </c>
      <c r="BF105" s="69" t="s">
        <v>19</v>
      </c>
    </row>
    <row r="106" spans="12:58" x14ac:dyDescent="0.25">
      <c r="L106" s="121" t="s">
        <v>198</v>
      </c>
      <c r="M106" s="69" t="s">
        <v>19</v>
      </c>
      <c r="N106" s="69" t="str">
        <f>VLOOKUP($L$4,'[1]POS_EAD_0112 a 3101_CAMP. REG)'!$F$5:$G$231,2,FALSE)</f>
        <v>Humanas</v>
      </c>
      <c r="O106" s="69">
        <f>VLOOKUP(L106,'[1]POS_EAD_0112 a 3101_CAMP. REG)'!$F$5:$H$231,3,FALSE)</f>
        <v>6</v>
      </c>
      <c r="P106" s="68">
        <f>VLOOKUP(L106,'[1]POS_EAD_0112 a 3101_CAMP. REG)'!$F$5:$I$231,4,FALSE)</f>
        <v>13</v>
      </c>
      <c r="Q106" s="73">
        <f>VLOOKUP(L106,'[1]POS_EAD_0112 a 3101_CAMP. REG)'!$F$5:$J$231,5,FALSE)</f>
        <v>405.70905000000005</v>
      </c>
      <c r="R106" s="124">
        <f>VLOOKUP(L106,'[1]POS_EAD_0112 a 3101_CAMP. REG)'!$F$5:$L$231,7,FALSE)</f>
        <v>0.45</v>
      </c>
      <c r="S106" s="73">
        <f>VLOOKUP(L106,'[1]POS_EAD_0112 a 3101_CAMP. REG)'!$F$5:$M$231,8,FALSE)</f>
        <v>200.83</v>
      </c>
      <c r="T106" s="124">
        <f>VLOOKUP(L106,'[1]POS_EAD_0112 a 3101_CAMP. REG)'!$F$5:$P$231,11,FALSE)</f>
        <v>0.5</v>
      </c>
      <c r="U106" s="73">
        <f>VLOOKUP(L106,'[1]POS_EAD_0112 a 3101_CAMP. REG)'!$F$5:$Q$231,12,FALSE)</f>
        <v>182.57</v>
      </c>
      <c r="W106" s="121" t="s">
        <v>198</v>
      </c>
      <c r="X106" s="69" t="s">
        <v>19</v>
      </c>
      <c r="Y106" s="69" t="str">
        <f>VLOOKUP(W106,'[1]POS_EAD_0112 a 3101_CAMP. REG)'!$F$231:$G$461,2,FALSE)</f>
        <v>Exatas</v>
      </c>
      <c r="Z106" s="68">
        <f>VLOOKUP(W106,'[1]POS_EAD_0112 a 3101_CAMP. REG)'!$F$231:$H$461,3,FALSE)</f>
        <v>6</v>
      </c>
      <c r="AA106" s="68">
        <f>VLOOKUP(W106,'[1]POS_EAD_0112 a 3101_CAMP. REG)'!$F$231:$I$461,4,FALSE)</f>
        <v>13</v>
      </c>
      <c r="AB106" s="73">
        <f>VLOOKUP(W106,'[1]POS_EAD_0112 a 3101_CAMP. REG)'!$F$231:$J$461,5,FALSE)</f>
        <v>439.79280900000003</v>
      </c>
      <c r="AC106" s="72">
        <f>VLOOKUP(W106,'[1]POS_EAD_0112 a 3101_CAMP. REG)'!$F$231:$L$461,7,FALSE)</f>
        <v>0.45</v>
      </c>
      <c r="AD106" s="73">
        <f>VLOOKUP(W106,'[1]POS_EAD_0112 a 3101_CAMP. REG)'!$F$231:$M$461,8,FALSE)</f>
        <v>217.7</v>
      </c>
      <c r="AE106" s="72">
        <f>VLOOKUP(W106,'[1]POS_EAD_0112 a 3101_CAMP. REG)'!$F$231:$P$461,11,FALSE)</f>
        <v>0.5</v>
      </c>
      <c r="AF106" s="73">
        <f>VLOOKUP(W106,'[1]POS_EAD_0112 a 3101_CAMP. REG)'!$F$231:$Q$461,12,FALSE)</f>
        <v>197.91</v>
      </c>
      <c r="AH106" s="121" t="s">
        <v>198</v>
      </c>
      <c r="AI106" s="69" t="s">
        <v>19</v>
      </c>
      <c r="AJ106" s="68" t="str">
        <f>VLOOKUP(UNG[[#This Row],[CURSO]],'[1]POS_EAD_0112 a 3101_CAMP. REG)'!$F$463:$G$688,2,FALSE)</f>
        <v>Exatas</v>
      </c>
      <c r="AK106" s="68">
        <f>VLOOKUP(UNG[[#This Row],[CURSO]],'[1]POS_EAD_0112 a 3101_CAMP. REG)'!$F$463:$H$688,3,FALSE)</f>
        <v>6</v>
      </c>
      <c r="AL106" s="68">
        <f>VLOOKUP(UNG[[#This Row],[CURSO]],'[1]POS_EAD_0112 a 3101_CAMP. REG)'!$F$463:$I$688,4,FALSE)</f>
        <v>13</v>
      </c>
      <c r="AM106" s="71">
        <f>VLOOKUP(UNG[[#This Row],[CURSO]],'[1]POS_EAD_0112 a 3101_CAMP. REG)'!$F$463:$J$688,5,FALSE)</f>
        <v>405.70905000000005</v>
      </c>
      <c r="AN106" s="124">
        <f>VLOOKUP(UNG[[#This Row],[CURSO]],'[1]POS_EAD_0112 a 3101_CAMP. REG)'!$F$463:$L$688,7,FALSE)</f>
        <v>0.45</v>
      </c>
      <c r="AO106" s="71">
        <f>VLOOKUP(UNG[[#This Row],[CURSO]],'[1]POS_EAD_0112 a 3101_CAMP. REG)'!$F$463:$M$688,8,FALSE)</f>
        <v>200.83</v>
      </c>
      <c r="AP106" s="124">
        <f>VLOOKUP(UNG[[#This Row],[CURSO]],'[1]POS_EAD_0112 a 3101_CAMP. REG)'!$F$463:$P$688,11,FALSE)</f>
        <v>0.5</v>
      </c>
      <c r="AQ106" s="71">
        <f>VLOOKUP(UNG[[#This Row],[CURSO]],'[1]POS_EAD_0112 a 3101_CAMP. REG)'!$F$463:$Q$688,12,FALSE)</f>
        <v>182.57</v>
      </c>
      <c r="AS106" s="121" t="s">
        <v>198</v>
      </c>
      <c r="AT106" s="69" t="s">
        <v>19</v>
      </c>
      <c r="AU106" s="69" t="str">
        <f>VLOOKUP(UNINASSAU[[#This Row],[CURSO]],'[1]POS_EAD_0112 a 3101_CAMP. REG)'!$F$690:$G$915,2,FALSE)</f>
        <v>Exatas</v>
      </c>
      <c r="AV106" s="69">
        <f>VLOOKUP(UNINASSAU[[#This Row],[CURSO]],'[1]POS_EAD_0112 a 3101_CAMP. REG)'!$F$690:$H$915,3,FALSE)</f>
        <v>6</v>
      </c>
      <c r="AW106" s="69">
        <f>VLOOKUP(UNINASSAU[[#This Row],[CURSO]],'[1]POS_EAD_0112 a 3101_CAMP. REG)'!$F$690:$I$915,4,FALSE)</f>
        <v>13</v>
      </c>
      <c r="AX106" s="73">
        <f>VLOOKUP(UNINASSAU[[#This Row],[CURSO]],'[1]POS_EAD_0112 a 3101_CAMP. REG)'!$F$690:$J$915,5,FALSE)</f>
        <v>405.70905000000005</v>
      </c>
      <c r="AY106" s="72">
        <f>VLOOKUP(UNINASSAU[[#This Row],[CURSO]],'[1]POS_EAD_0112 a 3101_CAMP. REG)'!$F$690:$L$915,7,FALSE)</f>
        <v>0.45</v>
      </c>
      <c r="AZ106" s="73">
        <f>VLOOKUP(UNINASSAU[[#This Row],[CURSO]],'[1]POS_EAD_0112 a 3101_CAMP. REG)'!$F$690:$N$915,8,FALSE)</f>
        <v>200.83</v>
      </c>
      <c r="BA106" s="72">
        <f>VLOOKUP(UNINASSAU[[#This Row],[CURSO]],'[1]POS_EAD_0112 a 3101_CAMP. REG)'!$F$690:$P$915,11,FALSE)</f>
        <v>0.5</v>
      </c>
      <c r="BB106" s="73">
        <f>VLOOKUP(UNINASSAU[[#This Row],[CURSO]],'[1]POS_EAD_0112 a 3101_CAMP. REG)'!$F$690:$Q$915,12,FALSE)</f>
        <v>182.57</v>
      </c>
      <c r="BD106" s="104">
        <v>103</v>
      </c>
      <c r="BE106" s="121" t="s">
        <v>198</v>
      </c>
      <c r="BF106" s="69" t="s">
        <v>19</v>
      </c>
    </row>
    <row r="107" spans="12:58" x14ac:dyDescent="0.25">
      <c r="L107" s="121" t="s">
        <v>36</v>
      </c>
      <c r="M107" s="69" t="s">
        <v>19</v>
      </c>
      <c r="N107" s="69" t="str">
        <f>VLOOKUP($L$4,'[1]POS_EAD_0112 a 3101_CAMP. REG)'!$F$5:$G$231,2,FALSE)</f>
        <v>Humanas</v>
      </c>
      <c r="O107" s="69">
        <f>VLOOKUP(L107,'[1]POS_EAD_0112 a 3101_CAMP. REG)'!$F$5:$H$231,3,FALSE)</f>
        <v>6</v>
      </c>
      <c r="P107" s="68">
        <f>VLOOKUP(L107,'[1]POS_EAD_0112 a 3101_CAMP. REG)'!$F$5:$I$231,4,FALSE)</f>
        <v>13</v>
      </c>
      <c r="Q107" s="73">
        <f>VLOOKUP(L107,'[1]POS_EAD_0112 a 3101_CAMP. REG)'!$F$5:$J$231,5,FALSE)</f>
        <v>405.70905000000005</v>
      </c>
      <c r="R107" s="124">
        <f>VLOOKUP(L107,'[1]POS_EAD_0112 a 3101_CAMP. REG)'!$F$5:$L$231,7,FALSE)</f>
        <v>0.45</v>
      </c>
      <c r="S107" s="73">
        <f>VLOOKUP(L107,'[1]POS_EAD_0112 a 3101_CAMP. REG)'!$F$5:$M$231,8,FALSE)</f>
        <v>200.83</v>
      </c>
      <c r="T107" s="124">
        <f>VLOOKUP(L107,'[1]POS_EAD_0112 a 3101_CAMP. REG)'!$F$5:$P$231,11,FALSE)</f>
        <v>0.5</v>
      </c>
      <c r="U107" s="73">
        <f>VLOOKUP(L107,'[1]POS_EAD_0112 a 3101_CAMP. REG)'!$F$5:$Q$231,12,FALSE)</f>
        <v>182.57</v>
      </c>
      <c r="W107" s="121" t="s">
        <v>36</v>
      </c>
      <c r="X107" s="69" t="s">
        <v>19</v>
      </c>
      <c r="Y107" s="69" t="str">
        <f>VLOOKUP(W107,'[1]POS_EAD_0112 a 3101_CAMP. REG)'!$F$231:$G$461,2,FALSE)</f>
        <v>Exatas</v>
      </c>
      <c r="Z107" s="68">
        <f>VLOOKUP(W107,'[1]POS_EAD_0112 a 3101_CAMP. REG)'!$F$231:$H$461,3,FALSE)</f>
        <v>6</v>
      </c>
      <c r="AA107" s="68">
        <f>VLOOKUP(W107,'[1]POS_EAD_0112 a 3101_CAMP. REG)'!$F$231:$I$461,4,FALSE)</f>
        <v>13</v>
      </c>
      <c r="AB107" s="73">
        <f>VLOOKUP(W107,'[1]POS_EAD_0112 a 3101_CAMP. REG)'!$F$231:$J$461,5,FALSE)</f>
        <v>439.79280900000003</v>
      </c>
      <c r="AC107" s="72">
        <f>VLOOKUP(W107,'[1]POS_EAD_0112 a 3101_CAMP. REG)'!$F$231:$L$461,7,FALSE)</f>
        <v>0.45</v>
      </c>
      <c r="AD107" s="73">
        <f>VLOOKUP(W107,'[1]POS_EAD_0112 a 3101_CAMP. REG)'!$F$231:$M$461,8,FALSE)</f>
        <v>217.7</v>
      </c>
      <c r="AE107" s="72">
        <f>VLOOKUP(W107,'[1]POS_EAD_0112 a 3101_CAMP. REG)'!$F$231:$P$461,11,FALSE)</f>
        <v>0.5</v>
      </c>
      <c r="AF107" s="73">
        <f>VLOOKUP(W107,'[1]POS_EAD_0112 a 3101_CAMP. REG)'!$F$231:$Q$461,12,FALSE)</f>
        <v>197.91</v>
      </c>
      <c r="AH107" s="121" t="s">
        <v>36</v>
      </c>
      <c r="AI107" s="69" t="s">
        <v>19</v>
      </c>
      <c r="AJ107" s="68" t="str">
        <f>VLOOKUP(UNG[[#This Row],[CURSO]],'[1]POS_EAD_0112 a 3101_CAMP. REG)'!$F$463:$G$688,2,FALSE)</f>
        <v>Exatas</v>
      </c>
      <c r="AK107" s="68">
        <f>VLOOKUP(UNG[[#This Row],[CURSO]],'[1]POS_EAD_0112 a 3101_CAMP. REG)'!$F$463:$H$688,3,FALSE)</f>
        <v>6</v>
      </c>
      <c r="AL107" s="68">
        <f>VLOOKUP(UNG[[#This Row],[CURSO]],'[1]POS_EAD_0112 a 3101_CAMP. REG)'!$F$463:$I$688,4,FALSE)</f>
        <v>13</v>
      </c>
      <c r="AM107" s="71">
        <f>VLOOKUP(UNG[[#This Row],[CURSO]],'[1]POS_EAD_0112 a 3101_CAMP. REG)'!$F$463:$J$688,5,FALSE)</f>
        <v>405.70905000000005</v>
      </c>
      <c r="AN107" s="124">
        <f>VLOOKUP(UNG[[#This Row],[CURSO]],'[1]POS_EAD_0112 a 3101_CAMP. REG)'!$F$463:$L$688,7,FALSE)</f>
        <v>0.45</v>
      </c>
      <c r="AO107" s="71">
        <f>VLOOKUP(UNG[[#This Row],[CURSO]],'[1]POS_EAD_0112 a 3101_CAMP. REG)'!$F$463:$M$688,8,FALSE)</f>
        <v>200.83</v>
      </c>
      <c r="AP107" s="124">
        <f>VLOOKUP(UNG[[#This Row],[CURSO]],'[1]POS_EAD_0112 a 3101_CAMP. REG)'!$F$463:$P$688,11,FALSE)</f>
        <v>0.5</v>
      </c>
      <c r="AQ107" s="71">
        <f>VLOOKUP(UNG[[#This Row],[CURSO]],'[1]POS_EAD_0112 a 3101_CAMP. REG)'!$F$463:$Q$688,12,FALSE)</f>
        <v>182.57</v>
      </c>
      <c r="AS107" s="121" t="s">
        <v>36</v>
      </c>
      <c r="AT107" s="69" t="s">
        <v>19</v>
      </c>
      <c r="AU107" s="69" t="str">
        <f>VLOOKUP(UNINASSAU[[#This Row],[CURSO]],'[1]POS_EAD_0112 a 3101_CAMP. REG)'!$F$690:$G$915,2,FALSE)</f>
        <v>Exatas</v>
      </c>
      <c r="AV107" s="69">
        <f>VLOOKUP(UNINASSAU[[#This Row],[CURSO]],'[1]POS_EAD_0112 a 3101_CAMP. REG)'!$F$690:$H$915,3,FALSE)</f>
        <v>6</v>
      </c>
      <c r="AW107" s="69">
        <f>VLOOKUP(UNINASSAU[[#This Row],[CURSO]],'[1]POS_EAD_0112 a 3101_CAMP. REG)'!$F$690:$I$915,4,FALSE)</f>
        <v>13</v>
      </c>
      <c r="AX107" s="73">
        <f>VLOOKUP(UNINASSAU[[#This Row],[CURSO]],'[1]POS_EAD_0112 a 3101_CAMP. REG)'!$F$690:$J$915,5,FALSE)</f>
        <v>405.70905000000005</v>
      </c>
      <c r="AY107" s="72">
        <f>VLOOKUP(UNINASSAU[[#This Row],[CURSO]],'[1]POS_EAD_0112 a 3101_CAMP. REG)'!$F$690:$L$915,7,FALSE)</f>
        <v>0.45</v>
      </c>
      <c r="AZ107" s="73">
        <f>VLOOKUP(UNINASSAU[[#This Row],[CURSO]],'[1]POS_EAD_0112 a 3101_CAMP. REG)'!$F$690:$N$915,8,FALSE)</f>
        <v>200.83</v>
      </c>
      <c r="BA107" s="72">
        <f>VLOOKUP(UNINASSAU[[#This Row],[CURSO]],'[1]POS_EAD_0112 a 3101_CAMP. REG)'!$F$690:$P$915,11,FALSE)</f>
        <v>0.5</v>
      </c>
      <c r="BB107" s="73">
        <f>VLOOKUP(UNINASSAU[[#This Row],[CURSO]],'[1]POS_EAD_0112 a 3101_CAMP. REG)'!$F$690:$Q$915,12,FALSE)</f>
        <v>182.57</v>
      </c>
      <c r="BD107" s="104">
        <v>104</v>
      </c>
      <c r="BE107" s="121" t="s">
        <v>36</v>
      </c>
      <c r="BF107" s="69" t="s">
        <v>19</v>
      </c>
    </row>
    <row r="108" spans="12:58" x14ac:dyDescent="0.25">
      <c r="L108" s="121" t="s">
        <v>253</v>
      </c>
      <c r="M108" s="69" t="s">
        <v>19</v>
      </c>
      <c r="N108" s="69" t="str">
        <f>VLOOKUP($L$4,'[1]POS_EAD_0112 a 3101_CAMP. REG)'!$F$5:$G$231,2,FALSE)</f>
        <v>Humanas</v>
      </c>
      <c r="O108" s="69">
        <f>VLOOKUP(L108,'[1]POS_EAD_0112 a 3101_CAMP. REG)'!$F$5:$H$231,3,FALSE)</f>
        <v>6</v>
      </c>
      <c r="P108" s="68">
        <f>VLOOKUP(L108,'[1]POS_EAD_0112 a 3101_CAMP. REG)'!$F$5:$I$231,4,FALSE)</f>
        <v>13</v>
      </c>
      <c r="Q108" s="73">
        <f>VLOOKUP(L108,'[1]POS_EAD_0112 a 3101_CAMP. REG)'!$F$5:$J$231,5,FALSE)</f>
        <v>405.70905000000005</v>
      </c>
      <c r="R108" s="124">
        <f>VLOOKUP(L108,'[1]POS_EAD_0112 a 3101_CAMP. REG)'!$F$5:$L$231,7,FALSE)</f>
        <v>0.45</v>
      </c>
      <c r="S108" s="73">
        <f>VLOOKUP(L108,'[1]POS_EAD_0112 a 3101_CAMP. REG)'!$F$5:$M$231,8,FALSE)</f>
        <v>200.83</v>
      </c>
      <c r="T108" s="124">
        <f>VLOOKUP(L108,'[1]POS_EAD_0112 a 3101_CAMP. REG)'!$F$5:$P$231,11,FALSE)</f>
        <v>0.5</v>
      </c>
      <c r="U108" s="73">
        <f>VLOOKUP(L108,'[1]POS_EAD_0112 a 3101_CAMP. REG)'!$F$5:$Q$231,12,FALSE)</f>
        <v>182.57</v>
      </c>
      <c r="W108" s="121" t="s">
        <v>253</v>
      </c>
      <c r="X108" s="69" t="s">
        <v>19</v>
      </c>
      <c r="Y108" s="69" t="str">
        <f>VLOOKUP(W108,'[1]POS_EAD_0112 a 3101_CAMP. REG)'!$F$231:$G$461,2,FALSE)</f>
        <v>Saúde</v>
      </c>
      <c r="Z108" s="68">
        <f>VLOOKUP(W108,'[1]POS_EAD_0112 a 3101_CAMP. REG)'!$F$231:$H$461,3,FALSE)</f>
        <v>6</v>
      </c>
      <c r="AA108" s="68">
        <f>VLOOKUP(W108,'[1]POS_EAD_0112 a 3101_CAMP. REG)'!$F$231:$I$461,4,FALSE)</f>
        <v>13</v>
      </c>
      <c r="AB108" s="73">
        <f>VLOOKUP(W108,'[1]POS_EAD_0112 a 3101_CAMP. REG)'!$F$231:$J$461,5,FALSE)</f>
        <v>439.79280900000003</v>
      </c>
      <c r="AC108" s="72">
        <f>VLOOKUP(W108,'[1]POS_EAD_0112 a 3101_CAMP. REG)'!$F$231:$L$461,7,FALSE)</f>
        <v>0.45</v>
      </c>
      <c r="AD108" s="73">
        <f>VLOOKUP(W108,'[1]POS_EAD_0112 a 3101_CAMP. REG)'!$F$231:$M$461,8,FALSE)</f>
        <v>217.7</v>
      </c>
      <c r="AE108" s="72">
        <f>VLOOKUP(W108,'[1]POS_EAD_0112 a 3101_CAMP. REG)'!$F$231:$P$461,11,FALSE)</f>
        <v>0.5</v>
      </c>
      <c r="AF108" s="73">
        <f>VLOOKUP(W108,'[1]POS_EAD_0112 a 3101_CAMP. REG)'!$F$231:$Q$461,12,FALSE)</f>
        <v>197.91</v>
      </c>
      <c r="AH108" s="121" t="s">
        <v>253</v>
      </c>
      <c r="AI108" s="69" t="s">
        <v>19</v>
      </c>
      <c r="AJ108" s="68" t="str">
        <f>VLOOKUP(UNG[[#This Row],[CURSO]],'[1]POS_EAD_0112 a 3101_CAMP. REG)'!$F$463:$G$688,2,FALSE)</f>
        <v>Saúde</v>
      </c>
      <c r="AK108" s="68">
        <f>VLOOKUP(UNG[[#This Row],[CURSO]],'[1]POS_EAD_0112 a 3101_CAMP. REG)'!$F$463:$H$688,3,FALSE)</f>
        <v>6</v>
      </c>
      <c r="AL108" s="68">
        <f>VLOOKUP(UNG[[#This Row],[CURSO]],'[1]POS_EAD_0112 a 3101_CAMP. REG)'!$F$463:$I$688,4,FALSE)</f>
        <v>13</v>
      </c>
      <c r="AM108" s="71">
        <f>VLOOKUP(UNG[[#This Row],[CURSO]],'[1]POS_EAD_0112 a 3101_CAMP. REG)'!$F$463:$J$688,5,FALSE)</f>
        <v>405.70905000000005</v>
      </c>
      <c r="AN108" s="124">
        <f>VLOOKUP(UNG[[#This Row],[CURSO]],'[1]POS_EAD_0112 a 3101_CAMP. REG)'!$F$463:$L$688,7,FALSE)</f>
        <v>0.45</v>
      </c>
      <c r="AO108" s="71">
        <f>VLOOKUP(UNG[[#This Row],[CURSO]],'[1]POS_EAD_0112 a 3101_CAMP. REG)'!$F$463:$M$688,8,FALSE)</f>
        <v>200.83</v>
      </c>
      <c r="AP108" s="124">
        <f>VLOOKUP(UNG[[#This Row],[CURSO]],'[1]POS_EAD_0112 a 3101_CAMP. REG)'!$F$463:$P$688,11,FALSE)</f>
        <v>0.5</v>
      </c>
      <c r="AQ108" s="71">
        <f>VLOOKUP(UNG[[#This Row],[CURSO]],'[1]POS_EAD_0112 a 3101_CAMP. REG)'!$F$463:$Q$688,12,FALSE)</f>
        <v>182.57</v>
      </c>
      <c r="AS108" s="121" t="s">
        <v>253</v>
      </c>
      <c r="AT108" s="69" t="s">
        <v>19</v>
      </c>
      <c r="AU108" s="69" t="str">
        <f>VLOOKUP(UNINASSAU[[#This Row],[CURSO]],'[1]POS_EAD_0112 a 3101_CAMP. REG)'!$F$690:$G$915,2,FALSE)</f>
        <v>Saúde</v>
      </c>
      <c r="AV108" s="69">
        <f>VLOOKUP(UNINASSAU[[#This Row],[CURSO]],'[1]POS_EAD_0112 a 3101_CAMP. REG)'!$F$690:$H$915,3,FALSE)</f>
        <v>6</v>
      </c>
      <c r="AW108" s="69">
        <f>VLOOKUP(UNINASSAU[[#This Row],[CURSO]],'[1]POS_EAD_0112 a 3101_CAMP. REG)'!$F$690:$I$915,4,FALSE)</f>
        <v>13</v>
      </c>
      <c r="AX108" s="73">
        <f>VLOOKUP(UNINASSAU[[#This Row],[CURSO]],'[1]POS_EAD_0112 a 3101_CAMP. REG)'!$F$690:$J$915,5,FALSE)</f>
        <v>405.70905000000005</v>
      </c>
      <c r="AY108" s="72">
        <f>VLOOKUP(UNINASSAU[[#This Row],[CURSO]],'[1]POS_EAD_0112 a 3101_CAMP. REG)'!$F$690:$L$915,7,FALSE)</f>
        <v>0.45</v>
      </c>
      <c r="AZ108" s="73">
        <f>VLOOKUP(UNINASSAU[[#This Row],[CURSO]],'[1]POS_EAD_0112 a 3101_CAMP. REG)'!$F$690:$N$915,8,FALSE)</f>
        <v>200.83</v>
      </c>
      <c r="BA108" s="72">
        <f>VLOOKUP(UNINASSAU[[#This Row],[CURSO]],'[1]POS_EAD_0112 a 3101_CAMP. REG)'!$F$690:$P$915,11,FALSE)</f>
        <v>0.5</v>
      </c>
      <c r="BB108" s="73">
        <f>VLOOKUP(UNINASSAU[[#This Row],[CURSO]],'[1]POS_EAD_0112 a 3101_CAMP. REG)'!$F$690:$Q$915,12,FALSE)</f>
        <v>182.57</v>
      </c>
      <c r="BD108" s="104">
        <v>105</v>
      </c>
      <c r="BE108" s="121" t="s">
        <v>253</v>
      </c>
      <c r="BF108" s="69" t="s">
        <v>19</v>
      </c>
    </row>
    <row r="109" spans="12:58" x14ac:dyDescent="0.25">
      <c r="L109" s="121" t="s">
        <v>75</v>
      </c>
      <c r="M109" s="69" t="s">
        <v>19</v>
      </c>
      <c r="N109" s="69" t="str">
        <f>VLOOKUP($L$4,'[1]POS_EAD_0112 a 3101_CAMP. REG)'!$F$5:$G$231,2,FALSE)</f>
        <v>Humanas</v>
      </c>
      <c r="O109" s="69">
        <f>VLOOKUP(L109,'[1]POS_EAD_0112 a 3101_CAMP. REG)'!$F$5:$H$231,3,FALSE)</f>
        <v>6</v>
      </c>
      <c r="P109" s="68">
        <f>VLOOKUP(L109,'[1]POS_EAD_0112 a 3101_CAMP. REG)'!$F$5:$I$231,4,FALSE)</f>
        <v>13</v>
      </c>
      <c r="Q109" s="73">
        <f>VLOOKUP(L109,'[1]POS_EAD_0112 a 3101_CAMP. REG)'!$F$5:$J$231,5,FALSE)</f>
        <v>405.70905000000005</v>
      </c>
      <c r="R109" s="124">
        <f>VLOOKUP(L109,'[1]POS_EAD_0112 a 3101_CAMP. REG)'!$F$5:$L$231,7,FALSE)</f>
        <v>0.45</v>
      </c>
      <c r="S109" s="73">
        <f>VLOOKUP(L109,'[1]POS_EAD_0112 a 3101_CAMP. REG)'!$F$5:$M$231,8,FALSE)</f>
        <v>200.83</v>
      </c>
      <c r="T109" s="124">
        <f>VLOOKUP(L109,'[1]POS_EAD_0112 a 3101_CAMP. REG)'!$F$5:$P$231,11,FALSE)</f>
        <v>0.5</v>
      </c>
      <c r="U109" s="73">
        <f>VLOOKUP(L109,'[1]POS_EAD_0112 a 3101_CAMP. REG)'!$F$5:$Q$231,12,FALSE)</f>
        <v>182.57</v>
      </c>
      <c r="W109" s="121" t="s">
        <v>75</v>
      </c>
      <c r="X109" s="69" t="s">
        <v>19</v>
      </c>
      <c r="Y109" s="69" t="str">
        <f>VLOOKUP(W109,'[1]POS_EAD_0112 a 3101_CAMP. REG)'!$F$231:$G$461,2,FALSE)</f>
        <v>Humanas</v>
      </c>
      <c r="Z109" s="68">
        <f>VLOOKUP(W109,'[1]POS_EAD_0112 a 3101_CAMP. REG)'!$F$231:$H$461,3,FALSE)</f>
        <v>6</v>
      </c>
      <c r="AA109" s="68">
        <f>VLOOKUP(W109,'[1]POS_EAD_0112 a 3101_CAMP. REG)'!$F$231:$I$461,4,FALSE)</f>
        <v>13</v>
      </c>
      <c r="AB109" s="73">
        <f>VLOOKUP(W109,'[1]POS_EAD_0112 a 3101_CAMP. REG)'!$F$231:$J$461,5,FALSE)</f>
        <v>439.79280900000003</v>
      </c>
      <c r="AC109" s="72">
        <f>VLOOKUP(W109,'[1]POS_EAD_0112 a 3101_CAMP. REG)'!$F$231:$L$461,7,FALSE)</f>
        <v>0.45</v>
      </c>
      <c r="AD109" s="73">
        <f>VLOOKUP(W109,'[1]POS_EAD_0112 a 3101_CAMP. REG)'!$F$231:$M$461,8,FALSE)</f>
        <v>217.7</v>
      </c>
      <c r="AE109" s="72">
        <f>VLOOKUP(W109,'[1]POS_EAD_0112 a 3101_CAMP. REG)'!$F$231:$P$461,11,FALSE)</f>
        <v>0.5</v>
      </c>
      <c r="AF109" s="73">
        <f>VLOOKUP(W109,'[1]POS_EAD_0112 a 3101_CAMP. REG)'!$F$231:$Q$461,12,FALSE)</f>
        <v>197.91</v>
      </c>
      <c r="AH109" s="121" t="s">
        <v>75</v>
      </c>
      <c r="AI109" s="69" t="s">
        <v>19</v>
      </c>
      <c r="AJ109" s="68" t="str">
        <f>VLOOKUP(UNG[[#This Row],[CURSO]],'[1]POS_EAD_0112 a 3101_CAMP. REG)'!$F$463:$G$688,2,FALSE)</f>
        <v>Humanas</v>
      </c>
      <c r="AK109" s="68">
        <f>VLOOKUP(UNG[[#This Row],[CURSO]],'[1]POS_EAD_0112 a 3101_CAMP. REG)'!$F$463:$H$688,3,FALSE)</f>
        <v>6</v>
      </c>
      <c r="AL109" s="68">
        <f>VLOOKUP(UNG[[#This Row],[CURSO]],'[1]POS_EAD_0112 a 3101_CAMP. REG)'!$F$463:$I$688,4,FALSE)</f>
        <v>13</v>
      </c>
      <c r="AM109" s="71">
        <f>VLOOKUP(UNG[[#This Row],[CURSO]],'[1]POS_EAD_0112 a 3101_CAMP. REG)'!$F$463:$J$688,5,FALSE)</f>
        <v>405.70905000000005</v>
      </c>
      <c r="AN109" s="124">
        <f>VLOOKUP(UNG[[#This Row],[CURSO]],'[1]POS_EAD_0112 a 3101_CAMP. REG)'!$F$463:$L$688,7,FALSE)</f>
        <v>0.45</v>
      </c>
      <c r="AO109" s="71">
        <f>VLOOKUP(UNG[[#This Row],[CURSO]],'[1]POS_EAD_0112 a 3101_CAMP. REG)'!$F$463:$M$688,8,FALSE)</f>
        <v>200.83</v>
      </c>
      <c r="AP109" s="124">
        <f>VLOOKUP(UNG[[#This Row],[CURSO]],'[1]POS_EAD_0112 a 3101_CAMP. REG)'!$F$463:$P$688,11,FALSE)</f>
        <v>0.5</v>
      </c>
      <c r="AQ109" s="71">
        <f>VLOOKUP(UNG[[#This Row],[CURSO]],'[1]POS_EAD_0112 a 3101_CAMP. REG)'!$F$463:$Q$688,12,FALSE)</f>
        <v>182.57</v>
      </c>
      <c r="AS109" s="121" t="s">
        <v>75</v>
      </c>
      <c r="AT109" s="69" t="s">
        <v>19</v>
      </c>
      <c r="AU109" s="69" t="str">
        <f>VLOOKUP(UNINASSAU[[#This Row],[CURSO]],'[1]POS_EAD_0112 a 3101_CAMP. REG)'!$F$690:$G$915,2,FALSE)</f>
        <v>Humanas</v>
      </c>
      <c r="AV109" s="69">
        <f>VLOOKUP(UNINASSAU[[#This Row],[CURSO]],'[1]POS_EAD_0112 a 3101_CAMP. REG)'!$F$690:$H$915,3,FALSE)</f>
        <v>6</v>
      </c>
      <c r="AW109" s="69">
        <f>VLOOKUP(UNINASSAU[[#This Row],[CURSO]],'[1]POS_EAD_0112 a 3101_CAMP. REG)'!$F$690:$I$915,4,FALSE)</f>
        <v>13</v>
      </c>
      <c r="AX109" s="73">
        <f>VLOOKUP(UNINASSAU[[#This Row],[CURSO]],'[1]POS_EAD_0112 a 3101_CAMP. REG)'!$F$690:$J$915,5,FALSE)</f>
        <v>405.70905000000005</v>
      </c>
      <c r="AY109" s="72">
        <f>VLOOKUP(UNINASSAU[[#This Row],[CURSO]],'[1]POS_EAD_0112 a 3101_CAMP. REG)'!$F$690:$L$915,7,FALSE)</f>
        <v>0.45</v>
      </c>
      <c r="AZ109" s="73">
        <f>VLOOKUP(UNINASSAU[[#This Row],[CURSO]],'[1]POS_EAD_0112 a 3101_CAMP. REG)'!$F$690:$N$915,8,FALSE)</f>
        <v>200.83</v>
      </c>
      <c r="BA109" s="72">
        <f>VLOOKUP(UNINASSAU[[#This Row],[CURSO]],'[1]POS_EAD_0112 a 3101_CAMP. REG)'!$F$690:$P$915,11,FALSE)</f>
        <v>0.5</v>
      </c>
      <c r="BB109" s="73">
        <f>VLOOKUP(UNINASSAU[[#This Row],[CURSO]],'[1]POS_EAD_0112 a 3101_CAMP. REG)'!$F$690:$Q$915,12,FALSE)</f>
        <v>182.57</v>
      </c>
      <c r="BD109" s="104">
        <v>106</v>
      </c>
      <c r="BE109" s="121" t="s">
        <v>75</v>
      </c>
      <c r="BF109" s="69" t="s">
        <v>19</v>
      </c>
    </row>
    <row r="110" spans="12:58" x14ac:dyDescent="0.25">
      <c r="L110" s="121" t="s">
        <v>186</v>
      </c>
      <c r="M110" s="69" t="s">
        <v>19</v>
      </c>
      <c r="N110" s="69" t="str">
        <f>VLOOKUP($L$4,'[1]POS_EAD_0112 a 3101_CAMP. REG)'!$F$5:$G$231,2,FALSE)</f>
        <v>Humanas</v>
      </c>
      <c r="O110" s="69">
        <f>VLOOKUP(L110,'[1]POS_EAD_0112 a 3101_CAMP. REG)'!$F$5:$H$231,3,FALSE)</f>
        <v>6</v>
      </c>
      <c r="P110" s="68">
        <f>VLOOKUP(L110,'[1]POS_EAD_0112 a 3101_CAMP. REG)'!$F$5:$I$231,4,FALSE)</f>
        <v>13</v>
      </c>
      <c r="Q110" s="73">
        <f>VLOOKUP(L110,'[1]POS_EAD_0112 a 3101_CAMP. REG)'!$F$5:$J$231,5,FALSE)</f>
        <v>269.33202599999998</v>
      </c>
      <c r="R110" s="124">
        <f>VLOOKUP(L110,'[1]POS_EAD_0112 a 3101_CAMP. REG)'!$F$5:$L$231,7,FALSE)</f>
        <v>0.45</v>
      </c>
      <c r="S110" s="73">
        <f>VLOOKUP(L110,'[1]POS_EAD_0112 a 3101_CAMP. REG)'!$F$5:$M$231,8,FALSE)</f>
        <v>133.32</v>
      </c>
      <c r="T110" s="124">
        <f>VLOOKUP(L110,'[1]POS_EAD_0112 a 3101_CAMP. REG)'!$F$5:$P$231,11,FALSE)</f>
        <v>0.5</v>
      </c>
      <c r="U110" s="73">
        <f>VLOOKUP(L110,'[1]POS_EAD_0112 a 3101_CAMP. REG)'!$F$5:$Q$231,12,FALSE)</f>
        <v>121.2</v>
      </c>
      <c r="W110" s="121" t="s">
        <v>186</v>
      </c>
      <c r="X110" s="69" t="s">
        <v>19</v>
      </c>
      <c r="Y110" s="69" t="str">
        <f>VLOOKUP(W110,'[1]POS_EAD_0112 a 3101_CAMP. REG)'!$F$231:$G$461,2,FALSE)</f>
        <v>Exatas</v>
      </c>
      <c r="Z110" s="68">
        <f>VLOOKUP(W110,'[1]POS_EAD_0112 a 3101_CAMP. REG)'!$F$231:$H$461,3,FALSE)</f>
        <v>6</v>
      </c>
      <c r="AA110" s="68">
        <f>VLOOKUP(W110,'[1]POS_EAD_0112 a 3101_CAMP. REG)'!$F$231:$I$461,4,FALSE)</f>
        <v>13</v>
      </c>
      <c r="AB110" s="73">
        <f>VLOOKUP(W110,'[1]POS_EAD_0112 a 3101_CAMP. REG)'!$F$231:$J$461,5,FALSE)</f>
        <v>303.42628200000001</v>
      </c>
      <c r="AC110" s="72">
        <f>VLOOKUP(W110,'[1]POS_EAD_0112 a 3101_CAMP. REG)'!$F$231:$L$461,7,FALSE)</f>
        <v>0.45</v>
      </c>
      <c r="AD110" s="73">
        <f>VLOOKUP(W110,'[1]POS_EAD_0112 a 3101_CAMP. REG)'!$F$231:$M$461,8,FALSE)</f>
        <v>150.19999999999999</v>
      </c>
      <c r="AE110" s="72">
        <f>VLOOKUP(W110,'[1]POS_EAD_0112 a 3101_CAMP. REG)'!$F$231:$P$461,11,FALSE)</f>
        <v>0.5</v>
      </c>
      <c r="AF110" s="73">
        <f>VLOOKUP(W110,'[1]POS_EAD_0112 a 3101_CAMP. REG)'!$F$231:$Q$461,12,FALSE)</f>
        <v>136.54</v>
      </c>
      <c r="AH110" s="121" t="s">
        <v>186</v>
      </c>
      <c r="AI110" s="69" t="s">
        <v>19</v>
      </c>
      <c r="AJ110" s="68" t="str">
        <f>VLOOKUP(UNG[[#This Row],[CURSO]],'[1]POS_EAD_0112 a 3101_CAMP. REG)'!$F$463:$G$688,2,FALSE)</f>
        <v>Exatas</v>
      </c>
      <c r="AK110" s="68">
        <f>VLOOKUP(UNG[[#This Row],[CURSO]],'[1]POS_EAD_0112 a 3101_CAMP. REG)'!$F$463:$H$688,3,FALSE)</f>
        <v>6</v>
      </c>
      <c r="AL110" s="68">
        <f>VLOOKUP(UNG[[#This Row],[CURSO]],'[1]POS_EAD_0112 a 3101_CAMP. REG)'!$F$463:$I$688,4,FALSE)</f>
        <v>13</v>
      </c>
      <c r="AM110" s="71">
        <f>VLOOKUP(UNG[[#This Row],[CURSO]],'[1]POS_EAD_0112 a 3101_CAMP. REG)'!$F$463:$J$688,5,FALSE)</f>
        <v>269.33202599999998</v>
      </c>
      <c r="AN110" s="124">
        <f>VLOOKUP(UNG[[#This Row],[CURSO]],'[1]POS_EAD_0112 a 3101_CAMP. REG)'!$F$463:$L$688,7,FALSE)</f>
        <v>0.45</v>
      </c>
      <c r="AO110" s="71">
        <f>VLOOKUP(UNG[[#This Row],[CURSO]],'[1]POS_EAD_0112 a 3101_CAMP. REG)'!$F$463:$M$688,8,FALSE)</f>
        <v>133.32</v>
      </c>
      <c r="AP110" s="124">
        <f>VLOOKUP(UNG[[#This Row],[CURSO]],'[1]POS_EAD_0112 a 3101_CAMP. REG)'!$F$463:$P$688,11,FALSE)</f>
        <v>0.5</v>
      </c>
      <c r="AQ110" s="71">
        <f>VLOOKUP(UNG[[#This Row],[CURSO]],'[1]POS_EAD_0112 a 3101_CAMP. REG)'!$F$463:$Q$688,12,FALSE)</f>
        <v>121.2</v>
      </c>
      <c r="AS110" s="121" t="s">
        <v>186</v>
      </c>
      <c r="AT110" s="69" t="s">
        <v>19</v>
      </c>
      <c r="AU110" s="69" t="str">
        <f>VLOOKUP(UNINASSAU[[#This Row],[CURSO]],'[1]POS_EAD_0112 a 3101_CAMP. REG)'!$F$690:$G$915,2,FALSE)</f>
        <v>Exatas</v>
      </c>
      <c r="AV110" s="69">
        <f>VLOOKUP(UNINASSAU[[#This Row],[CURSO]],'[1]POS_EAD_0112 a 3101_CAMP. REG)'!$F$690:$H$915,3,FALSE)</f>
        <v>6</v>
      </c>
      <c r="AW110" s="69">
        <f>VLOOKUP(UNINASSAU[[#This Row],[CURSO]],'[1]POS_EAD_0112 a 3101_CAMP. REG)'!$F$690:$I$915,4,FALSE)</f>
        <v>13</v>
      </c>
      <c r="AX110" s="73">
        <f>VLOOKUP(UNINASSAU[[#This Row],[CURSO]],'[1]POS_EAD_0112 a 3101_CAMP. REG)'!$F$690:$J$915,5,FALSE)</f>
        <v>269.33202599999998</v>
      </c>
      <c r="AY110" s="72">
        <f>VLOOKUP(UNINASSAU[[#This Row],[CURSO]],'[1]POS_EAD_0112 a 3101_CAMP. REG)'!$F$690:$L$915,7,FALSE)</f>
        <v>0.45</v>
      </c>
      <c r="AZ110" s="73">
        <f>VLOOKUP(UNINASSAU[[#This Row],[CURSO]],'[1]POS_EAD_0112 a 3101_CAMP. REG)'!$F$690:$N$915,8,FALSE)</f>
        <v>133.32</v>
      </c>
      <c r="BA110" s="72">
        <f>VLOOKUP(UNINASSAU[[#This Row],[CURSO]],'[1]POS_EAD_0112 a 3101_CAMP. REG)'!$F$690:$P$915,11,FALSE)</f>
        <v>0.5</v>
      </c>
      <c r="BB110" s="73">
        <f>VLOOKUP(UNINASSAU[[#This Row],[CURSO]],'[1]POS_EAD_0112 a 3101_CAMP. REG)'!$F$690:$Q$915,12,FALSE)</f>
        <v>121.2</v>
      </c>
      <c r="BD110" s="104">
        <v>107</v>
      </c>
      <c r="BE110" s="121" t="s">
        <v>186</v>
      </c>
      <c r="BF110" s="69" t="s">
        <v>19</v>
      </c>
    </row>
    <row r="111" spans="12:58" x14ac:dyDescent="0.25">
      <c r="L111" s="121" t="s">
        <v>207</v>
      </c>
      <c r="M111" s="69" t="s">
        <v>19</v>
      </c>
      <c r="N111" s="69" t="str">
        <f>VLOOKUP($L$4,'[1]POS_EAD_0112 a 3101_CAMP. REG)'!$F$5:$G$231,2,FALSE)</f>
        <v>Humanas</v>
      </c>
      <c r="O111" s="69">
        <f>VLOOKUP(L111,'[1]POS_EAD_0112 a 3101_CAMP. REG)'!$F$5:$H$231,3,FALSE)</f>
        <v>6</v>
      </c>
      <c r="P111" s="68">
        <f>VLOOKUP(L111,'[1]POS_EAD_0112 a 3101_CAMP. REG)'!$F$5:$I$231,4,FALSE)</f>
        <v>13</v>
      </c>
      <c r="Q111" s="73">
        <f>VLOOKUP(L111,'[1]POS_EAD_0112 a 3101_CAMP. REG)'!$F$5:$J$231,5,FALSE)</f>
        <v>269.33202599999998</v>
      </c>
      <c r="R111" s="124">
        <f>VLOOKUP(L111,'[1]POS_EAD_0112 a 3101_CAMP. REG)'!$F$5:$L$231,7,FALSE)</f>
        <v>0.45</v>
      </c>
      <c r="S111" s="73">
        <f>VLOOKUP(L111,'[1]POS_EAD_0112 a 3101_CAMP. REG)'!$F$5:$M$231,8,FALSE)</f>
        <v>133.32</v>
      </c>
      <c r="T111" s="124">
        <f>VLOOKUP(L111,'[1]POS_EAD_0112 a 3101_CAMP. REG)'!$F$5:$P$231,11,FALSE)</f>
        <v>0.5</v>
      </c>
      <c r="U111" s="73">
        <f>VLOOKUP(L111,'[1]POS_EAD_0112 a 3101_CAMP. REG)'!$F$5:$Q$231,12,FALSE)</f>
        <v>121.2</v>
      </c>
      <c r="W111" s="121" t="s">
        <v>207</v>
      </c>
      <c r="X111" s="69" t="s">
        <v>19</v>
      </c>
      <c r="Y111" s="69" t="str">
        <f>VLOOKUP(W111,'[1]POS_EAD_0112 a 3101_CAMP. REG)'!$F$231:$G$461,2,FALSE)</f>
        <v>Saúde</v>
      </c>
      <c r="Z111" s="68">
        <f>VLOOKUP(W111,'[1]POS_EAD_0112 a 3101_CAMP. REG)'!$F$231:$H$461,3,FALSE)</f>
        <v>6</v>
      </c>
      <c r="AA111" s="68">
        <f>VLOOKUP(W111,'[1]POS_EAD_0112 a 3101_CAMP. REG)'!$F$231:$I$461,4,FALSE)</f>
        <v>13</v>
      </c>
      <c r="AB111" s="73">
        <f>VLOOKUP(W111,'[1]POS_EAD_0112 a 3101_CAMP. REG)'!$F$231:$J$461,5,FALSE)</f>
        <v>303.42628200000001</v>
      </c>
      <c r="AC111" s="72">
        <f>VLOOKUP(W111,'[1]POS_EAD_0112 a 3101_CAMP. REG)'!$F$231:$L$461,7,FALSE)</f>
        <v>0.45</v>
      </c>
      <c r="AD111" s="73">
        <f>VLOOKUP(W111,'[1]POS_EAD_0112 a 3101_CAMP. REG)'!$F$231:$M$461,8,FALSE)</f>
        <v>150.19999999999999</v>
      </c>
      <c r="AE111" s="72">
        <f>VLOOKUP(W111,'[1]POS_EAD_0112 a 3101_CAMP. REG)'!$F$231:$P$461,11,FALSE)</f>
        <v>0.5</v>
      </c>
      <c r="AF111" s="73">
        <f>VLOOKUP(W111,'[1]POS_EAD_0112 a 3101_CAMP. REG)'!$F$231:$Q$461,12,FALSE)</f>
        <v>136.54</v>
      </c>
      <c r="AH111" s="121" t="s">
        <v>207</v>
      </c>
      <c r="AI111" s="69" t="s">
        <v>19</v>
      </c>
      <c r="AJ111" s="68" t="str">
        <f>VLOOKUP(UNG[[#This Row],[CURSO]],'[1]POS_EAD_0112 a 3101_CAMP. REG)'!$F$463:$G$688,2,FALSE)</f>
        <v>Saúde</v>
      </c>
      <c r="AK111" s="68">
        <f>VLOOKUP(UNG[[#This Row],[CURSO]],'[1]POS_EAD_0112 a 3101_CAMP. REG)'!$F$463:$H$688,3,FALSE)</f>
        <v>6</v>
      </c>
      <c r="AL111" s="68">
        <f>VLOOKUP(UNG[[#This Row],[CURSO]],'[1]POS_EAD_0112 a 3101_CAMP. REG)'!$F$463:$I$688,4,FALSE)</f>
        <v>13</v>
      </c>
      <c r="AM111" s="71">
        <f>VLOOKUP(UNG[[#This Row],[CURSO]],'[1]POS_EAD_0112 a 3101_CAMP. REG)'!$F$463:$J$688,5,FALSE)</f>
        <v>269.33202599999998</v>
      </c>
      <c r="AN111" s="124">
        <f>VLOOKUP(UNG[[#This Row],[CURSO]],'[1]POS_EAD_0112 a 3101_CAMP. REG)'!$F$463:$L$688,7,FALSE)</f>
        <v>0.45</v>
      </c>
      <c r="AO111" s="71">
        <f>VLOOKUP(UNG[[#This Row],[CURSO]],'[1]POS_EAD_0112 a 3101_CAMP. REG)'!$F$463:$M$688,8,FALSE)</f>
        <v>133.32</v>
      </c>
      <c r="AP111" s="124">
        <f>VLOOKUP(UNG[[#This Row],[CURSO]],'[1]POS_EAD_0112 a 3101_CAMP. REG)'!$F$463:$P$688,11,FALSE)</f>
        <v>0.5</v>
      </c>
      <c r="AQ111" s="71">
        <f>VLOOKUP(UNG[[#This Row],[CURSO]],'[1]POS_EAD_0112 a 3101_CAMP. REG)'!$F$463:$Q$688,12,FALSE)</f>
        <v>121.2</v>
      </c>
      <c r="AS111" s="121" t="s">
        <v>207</v>
      </c>
      <c r="AT111" s="69" t="s">
        <v>19</v>
      </c>
      <c r="AU111" s="69" t="str">
        <f>VLOOKUP(UNINASSAU[[#This Row],[CURSO]],'[1]POS_EAD_0112 a 3101_CAMP. REG)'!$F$690:$G$915,2,FALSE)</f>
        <v>Saúde</v>
      </c>
      <c r="AV111" s="69">
        <f>VLOOKUP(UNINASSAU[[#This Row],[CURSO]],'[1]POS_EAD_0112 a 3101_CAMP. REG)'!$F$690:$H$915,3,FALSE)</f>
        <v>6</v>
      </c>
      <c r="AW111" s="69">
        <f>VLOOKUP(UNINASSAU[[#This Row],[CURSO]],'[1]POS_EAD_0112 a 3101_CAMP. REG)'!$F$690:$I$915,4,FALSE)</f>
        <v>13</v>
      </c>
      <c r="AX111" s="73">
        <f>VLOOKUP(UNINASSAU[[#This Row],[CURSO]],'[1]POS_EAD_0112 a 3101_CAMP. REG)'!$F$690:$J$915,5,FALSE)</f>
        <v>269.33202599999998</v>
      </c>
      <c r="AY111" s="72">
        <f>VLOOKUP(UNINASSAU[[#This Row],[CURSO]],'[1]POS_EAD_0112 a 3101_CAMP. REG)'!$F$690:$L$915,7,FALSE)</f>
        <v>0.45</v>
      </c>
      <c r="AZ111" s="73">
        <f>VLOOKUP(UNINASSAU[[#This Row],[CURSO]],'[1]POS_EAD_0112 a 3101_CAMP. REG)'!$F$690:$N$915,8,FALSE)</f>
        <v>133.32</v>
      </c>
      <c r="BA111" s="72">
        <f>VLOOKUP(UNINASSAU[[#This Row],[CURSO]],'[1]POS_EAD_0112 a 3101_CAMP. REG)'!$F$690:$P$915,11,FALSE)</f>
        <v>0.5</v>
      </c>
      <c r="BB111" s="73">
        <f>VLOOKUP(UNINASSAU[[#This Row],[CURSO]],'[1]POS_EAD_0112 a 3101_CAMP. REG)'!$F$690:$Q$915,12,FALSE)</f>
        <v>121.2</v>
      </c>
      <c r="BD111" s="104">
        <v>108</v>
      </c>
      <c r="BE111" s="121" t="s">
        <v>207</v>
      </c>
      <c r="BF111" s="69" t="s">
        <v>19</v>
      </c>
    </row>
    <row r="112" spans="12:58" x14ac:dyDescent="0.25">
      <c r="L112" s="121" t="s">
        <v>99</v>
      </c>
      <c r="M112" s="69" t="s">
        <v>19</v>
      </c>
      <c r="N112" s="69" t="str">
        <f>VLOOKUP($L$4,'[1]POS_EAD_0112 a 3101_CAMP. REG)'!$F$5:$G$231,2,FALSE)</f>
        <v>Humanas</v>
      </c>
      <c r="O112" s="69">
        <f>VLOOKUP(L112,'[1]POS_EAD_0112 a 3101_CAMP. REG)'!$F$5:$H$231,3,FALSE)</f>
        <v>12</v>
      </c>
      <c r="P112" s="68">
        <f>VLOOKUP(L112,'[1]POS_EAD_0112 a 3101_CAMP. REG)'!$F$5:$I$231,4,FALSE)</f>
        <v>19</v>
      </c>
      <c r="Q112" s="73">
        <f>VLOOKUP(L112,'[1]POS_EAD_0112 a 3101_CAMP. REG)'!$F$5:$J$231,5,FALSE)</f>
        <v>277.58266800000001</v>
      </c>
      <c r="R112" s="124">
        <f>VLOOKUP(L112,'[1]POS_EAD_0112 a 3101_CAMP. REG)'!$F$5:$L$231,7,FALSE)</f>
        <v>0.45</v>
      </c>
      <c r="S112" s="73">
        <f>VLOOKUP(L112,'[1]POS_EAD_0112 a 3101_CAMP. REG)'!$F$5:$M$231,8,FALSE)</f>
        <v>137.4</v>
      </c>
      <c r="T112" s="124">
        <f>VLOOKUP(L112,'[1]POS_EAD_0112 a 3101_CAMP. REG)'!$F$5:$P$231,11,FALSE)</f>
        <v>0.5</v>
      </c>
      <c r="U112" s="73">
        <f>VLOOKUP(L112,'[1]POS_EAD_0112 a 3101_CAMP. REG)'!$F$5:$Q$231,12,FALSE)</f>
        <v>124.91</v>
      </c>
      <c r="W112" s="121" t="s">
        <v>99</v>
      </c>
      <c r="X112" s="69" t="s">
        <v>19</v>
      </c>
      <c r="Y112" s="69" t="str">
        <f>VLOOKUP(W112,'[1]POS_EAD_0112 a 3101_CAMP. REG)'!$F$231:$G$461,2,FALSE)</f>
        <v>Saúde</v>
      </c>
      <c r="Z112" s="68">
        <f>VLOOKUP(W112,'[1]POS_EAD_0112 a 3101_CAMP. REG)'!$F$231:$H$461,3,FALSE)</f>
        <v>12</v>
      </c>
      <c r="AA112" s="68">
        <f>VLOOKUP(W112,'[1]POS_EAD_0112 a 3101_CAMP. REG)'!$F$231:$I$461,4,FALSE)</f>
        <v>19</v>
      </c>
      <c r="AB112" s="73">
        <f>VLOOKUP(W112,'[1]POS_EAD_0112 a 3101_CAMP. REG)'!$F$231:$J$461,5,FALSE)</f>
        <v>300.91749900000002</v>
      </c>
      <c r="AC112" s="72">
        <f>VLOOKUP(W112,'[1]POS_EAD_0112 a 3101_CAMP. REG)'!$F$231:$L$461,7,FALSE)</f>
        <v>0.45</v>
      </c>
      <c r="AD112" s="73">
        <f>VLOOKUP(W112,'[1]POS_EAD_0112 a 3101_CAMP. REG)'!$F$231:$M$461,8,FALSE)</f>
        <v>148.94999999999999</v>
      </c>
      <c r="AE112" s="72">
        <f>VLOOKUP(W112,'[1]POS_EAD_0112 a 3101_CAMP. REG)'!$F$231:$P$461,11,FALSE)</f>
        <v>0.5</v>
      </c>
      <c r="AF112" s="73">
        <f>VLOOKUP(W112,'[1]POS_EAD_0112 a 3101_CAMP. REG)'!$F$231:$Q$461,12,FALSE)</f>
        <v>135.41</v>
      </c>
      <c r="AH112" s="121" t="s">
        <v>99</v>
      </c>
      <c r="AI112" s="69" t="s">
        <v>19</v>
      </c>
      <c r="AJ112" s="68" t="str">
        <f>VLOOKUP(UNG[[#This Row],[CURSO]],'[1]POS_EAD_0112 a 3101_CAMP. REG)'!$F$463:$G$688,2,FALSE)</f>
        <v>Saúde</v>
      </c>
      <c r="AK112" s="68">
        <f>VLOOKUP(UNG[[#This Row],[CURSO]],'[1]POS_EAD_0112 a 3101_CAMP. REG)'!$F$463:$H$688,3,FALSE)</f>
        <v>12</v>
      </c>
      <c r="AL112" s="68">
        <f>VLOOKUP(UNG[[#This Row],[CURSO]],'[1]POS_EAD_0112 a 3101_CAMP. REG)'!$F$463:$I$688,4,FALSE)</f>
        <v>19</v>
      </c>
      <c r="AM112" s="71">
        <f>VLOOKUP(UNG[[#This Row],[CURSO]],'[1]POS_EAD_0112 a 3101_CAMP. REG)'!$F$463:$J$688,5,FALSE)</f>
        <v>277.58266800000001</v>
      </c>
      <c r="AN112" s="124">
        <f>VLOOKUP(UNG[[#This Row],[CURSO]],'[1]POS_EAD_0112 a 3101_CAMP. REG)'!$F$463:$L$688,7,FALSE)</f>
        <v>0.45</v>
      </c>
      <c r="AO112" s="71">
        <f>VLOOKUP(UNG[[#This Row],[CURSO]],'[1]POS_EAD_0112 a 3101_CAMP. REG)'!$F$463:$M$688,8,FALSE)</f>
        <v>137.4</v>
      </c>
      <c r="AP112" s="124">
        <f>VLOOKUP(UNG[[#This Row],[CURSO]],'[1]POS_EAD_0112 a 3101_CAMP. REG)'!$F$463:$P$688,11,FALSE)</f>
        <v>0.5</v>
      </c>
      <c r="AQ112" s="71">
        <f>VLOOKUP(UNG[[#This Row],[CURSO]],'[1]POS_EAD_0112 a 3101_CAMP. REG)'!$F$463:$Q$688,12,FALSE)</f>
        <v>124.91</v>
      </c>
      <c r="AS112" s="121" t="s">
        <v>99</v>
      </c>
      <c r="AT112" s="69" t="s">
        <v>19</v>
      </c>
      <c r="AU112" s="69" t="str">
        <f>VLOOKUP(UNINASSAU[[#This Row],[CURSO]],'[1]POS_EAD_0112 a 3101_CAMP. REG)'!$F$690:$G$915,2,FALSE)</f>
        <v>Saúde</v>
      </c>
      <c r="AV112" s="69">
        <f>VLOOKUP(UNINASSAU[[#This Row],[CURSO]],'[1]POS_EAD_0112 a 3101_CAMP. REG)'!$F$690:$H$915,3,FALSE)</f>
        <v>12</v>
      </c>
      <c r="AW112" s="69">
        <f>VLOOKUP(UNINASSAU[[#This Row],[CURSO]],'[1]POS_EAD_0112 a 3101_CAMP. REG)'!$F$690:$I$915,4,FALSE)</f>
        <v>19</v>
      </c>
      <c r="AX112" s="73">
        <f>VLOOKUP(UNINASSAU[[#This Row],[CURSO]],'[1]POS_EAD_0112 a 3101_CAMP. REG)'!$F$690:$J$915,5,FALSE)</f>
        <v>277.58266800000001</v>
      </c>
      <c r="AY112" s="72">
        <f>VLOOKUP(UNINASSAU[[#This Row],[CURSO]],'[1]POS_EAD_0112 a 3101_CAMP. REG)'!$F$690:$L$915,7,FALSE)</f>
        <v>0.45</v>
      </c>
      <c r="AZ112" s="73">
        <f>VLOOKUP(UNINASSAU[[#This Row],[CURSO]],'[1]POS_EAD_0112 a 3101_CAMP. REG)'!$F$690:$N$915,8,FALSE)</f>
        <v>137.4</v>
      </c>
      <c r="BA112" s="72">
        <f>VLOOKUP(UNINASSAU[[#This Row],[CURSO]],'[1]POS_EAD_0112 a 3101_CAMP. REG)'!$F$690:$P$915,11,FALSE)</f>
        <v>0.5</v>
      </c>
      <c r="BB112" s="73">
        <f>VLOOKUP(UNINASSAU[[#This Row],[CURSO]],'[1]POS_EAD_0112 a 3101_CAMP. REG)'!$F$690:$Q$915,12,FALSE)</f>
        <v>124.91</v>
      </c>
      <c r="BD112" s="104">
        <v>109</v>
      </c>
      <c r="BE112" s="121" t="s">
        <v>99</v>
      </c>
      <c r="BF112" s="69" t="s">
        <v>19</v>
      </c>
    </row>
    <row r="113" spans="12:58" x14ac:dyDescent="0.25">
      <c r="L113" s="121" t="s">
        <v>141</v>
      </c>
      <c r="M113" s="69" t="s">
        <v>19</v>
      </c>
      <c r="N113" s="69" t="str">
        <f>VLOOKUP($L$4,'[1]POS_EAD_0112 a 3101_CAMP. REG)'!$F$5:$G$231,2,FALSE)</f>
        <v>Humanas</v>
      </c>
      <c r="O113" s="69">
        <f>VLOOKUP(L113,'[1]POS_EAD_0112 a 3101_CAMP. REG)'!$F$5:$H$231,3,FALSE)</f>
        <v>12</v>
      </c>
      <c r="P113" s="68">
        <f>VLOOKUP(L113,'[1]POS_EAD_0112 a 3101_CAMP. REG)'!$F$5:$I$231,4,FALSE)</f>
        <v>19</v>
      </c>
      <c r="Q113" s="73">
        <f>VLOOKUP(L113,'[1]POS_EAD_0112 a 3101_CAMP. REG)'!$F$5:$J$231,5,FALSE)</f>
        <v>184.28091221052631</v>
      </c>
      <c r="R113" s="124">
        <f>VLOOKUP(L113,'[1]POS_EAD_0112 a 3101_CAMP. REG)'!$F$5:$L$231,7,FALSE)</f>
        <v>0.45</v>
      </c>
      <c r="S113" s="73">
        <f>VLOOKUP(L113,'[1]POS_EAD_0112 a 3101_CAMP. REG)'!$F$5:$M$231,8,FALSE)</f>
        <v>91.22</v>
      </c>
      <c r="T113" s="124">
        <f>VLOOKUP(L113,'[1]POS_EAD_0112 a 3101_CAMP. REG)'!$F$5:$P$231,11,FALSE)</f>
        <v>0.5</v>
      </c>
      <c r="U113" s="73">
        <f>VLOOKUP(L113,'[1]POS_EAD_0112 a 3101_CAMP. REG)'!$F$5:$Q$231,12,FALSE)</f>
        <v>82.93</v>
      </c>
      <c r="W113" s="121" t="s">
        <v>141</v>
      </c>
      <c r="X113" s="69" t="s">
        <v>19</v>
      </c>
      <c r="Y113" s="69" t="str">
        <f>VLOOKUP(W113,'[1]POS_EAD_0112 a 3101_CAMP. REG)'!$F$231:$G$461,2,FALSE)</f>
        <v>Humanas</v>
      </c>
      <c r="Z113" s="68">
        <f>VLOOKUP(W113,'[1]POS_EAD_0112 a 3101_CAMP. REG)'!$F$231:$H$461,3,FALSE)</f>
        <v>12</v>
      </c>
      <c r="AA113" s="68">
        <f>VLOOKUP(W113,'[1]POS_EAD_0112 a 3101_CAMP. REG)'!$F$231:$I$461,4,FALSE)</f>
        <v>19</v>
      </c>
      <c r="AB113" s="73">
        <f>VLOOKUP(W113,'[1]POS_EAD_0112 a 3101_CAMP. REG)'!$F$231:$J$461,5,FALSE)</f>
        <v>207.609666</v>
      </c>
      <c r="AC113" s="72">
        <f>VLOOKUP(W113,'[1]POS_EAD_0112 a 3101_CAMP. REG)'!$F$231:$L$461,7,FALSE)</f>
        <v>0.45</v>
      </c>
      <c r="AD113" s="73">
        <f>VLOOKUP(W113,'[1]POS_EAD_0112 a 3101_CAMP. REG)'!$F$231:$M$461,8,FALSE)</f>
        <v>102.77</v>
      </c>
      <c r="AE113" s="72">
        <f>VLOOKUP(W113,'[1]POS_EAD_0112 a 3101_CAMP. REG)'!$F$231:$P$461,11,FALSE)</f>
        <v>0.5</v>
      </c>
      <c r="AF113" s="73">
        <f>VLOOKUP(W113,'[1]POS_EAD_0112 a 3101_CAMP. REG)'!$F$231:$Q$461,12,FALSE)</f>
        <v>93.42</v>
      </c>
      <c r="AH113" s="121" t="s">
        <v>141</v>
      </c>
      <c r="AI113" s="69" t="s">
        <v>19</v>
      </c>
      <c r="AJ113" s="68" t="str">
        <f>VLOOKUP(UNG[[#This Row],[CURSO]],'[1]POS_EAD_0112 a 3101_CAMP. REG)'!$F$463:$G$688,2,FALSE)</f>
        <v>Humanas</v>
      </c>
      <c r="AK113" s="68">
        <f>VLOOKUP(UNG[[#This Row],[CURSO]],'[1]POS_EAD_0112 a 3101_CAMP. REG)'!$F$463:$H$688,3,FALSE)</f>
        <v>12</v>
      </c>
      <c r="AL113" s="68">
        <f>VLOOKUP(UNG[[#This Row],[CURSO]],'[1]POS_EAD_0112 a 3101_CAMP. REG)'!$F$463:$I$688,4,FALSE)</f>
        <v>19</v>
      </c>
      <c r="AM113" s="71">
        <f>VLOOKUP(UNG[[#This Row],[CURSO]],'[1]POS_EAD_0112 a 3101_CAMP. REG)'!$F$463:$J$688,5,FALSE)</f>
        <v>184.28091221052631</v>
      </c>
      <c r="AN113" s="124">
        <f>VLOOKUP(UNG[[#This Row],[CURSO]],'[1]POS_EAD_0112 a 3101_CAMP. REG)'!$F$463:$L$688,7,FALSE)</f>
        <v>0.45</v>
      </c>
      <c r="AO113" s="71">
        <f>VLOOKUP(UNG[[#This Row],[CURSO]],'[1]POS_EAD_0112 a 3101_CAMP. REG)'!$F$463:$M$688,8,FALSE)</f>
        <v>91.22</v>
      </c>
      <c r="AP113" s="124">
        <f>VLOOKUP(UNG[[#This Row],[CURSO]],'[1]POS_EAD_0112 a 3101_CAMP. REG)'!$F$463:$P$688,11,FALSE)</f>
        <v>0.5</v>
      </c>
      <c r="AQ113" s="71">
        <f>VLOOKUP(UNG[[#This Row],[CURSO]],'[1]POS_EAD_0112 a 3101_CAMP. REG)'!$F$463:$Q$688,12,FALSE)</f>
        <v>82.93</v>
      </c>
      <c r="AS113" s="121" t="s">
        <v>141</v>
      </c>
      <c r="AT113" s="69" t="s">
        <v>19</v>
      </c>
      <c r="AU113" s="69" t="str">
        <f>VLOOKUP(UNINASSAU[[#This Row],[CURSO]],'[1]POS_EAD_0112 a 3101_CAMP. REG)'!$F$690:$G$915,2,FALSE)</f>
        <v>Humanas</v>
      </c>
      <c r="AV113" s="69">
        <f>VLOOKUP(UNINASSAU[[#This Row],[CURSO]],'[1]POS_EAD_0112 a 3101_CAMP. REG)'!$F$690:$H$915,3,FALSE)</f>
        <v>12</v>
      </c>
      <c r="AW113" s="69">
        <f>VLOOKUP(UNINASSAU[[#This Row],[CURSO]],'[1]POS_EAD_0112 a 3101_CAMP. REG)'!$F$690:$I$915,4,FALSE)</f>
        <v>19</v>
      </c>
      <c r="AX113" s="73">
        <f>VLOOKUP(UNINASSAU[[#This Row],[CURSO]],'[1]POS_EAD_0112 a 3101_CAMP. REG)'!$F$690:$J$915,5,FALSE)</f>
        <v>184.28091221052631</v>
      </c>
      <c r="AY113" s="72">
        <f>VLOOKUP(UNINASSAU[[#This Row],[CURSO]],'[1]POS_EAD_0112 a 3101_CAMP. REG)'!$F$690:$L$915,7,FALSE)</f>
        <v>0.45</v>
      </c>
      <c r="AZ113" s="73">
        <f>VLOOKUP(UNINASSAU[[#This Row],[CURSO]],'[1]POS_EAD_0112 a 3101_CAMP. REG)'!$F$690:$N$915,8,FALSE)</f>
        <v>91.22</v>
      </c>
      <c r="BA113" s="72">
        <f>VLOOKUP(UNINASSAU[[#This Row],[CURSO]],'[1]POS_EAD_0112 a 3101_CAMP. REG)'!$F$690:$P$915,11,FALSE)</f>
        <v>0.5</v>
      </c>
      <c r="BB113" s="73">
        <f>VLOOKUP(UNINASSAU[[#This Row],[CURSO]],'[1]POS_EAD_0112 a 3101_CAMP. REG)'!$F$690:$Q$915,12,FALSE)</f>
        <v>82.93</v>
      </c>
      <c r="BD113" s="104">
        <v>110</v>
      </c>
      <c r="BE113" s="121" t="s">
        <v>141</v>
      </c>
      <c r="BF113" s="69" t="s">
        <v>19</v>
      </c>
    </row>
    <row r="114" spans="12:58" x14ac:dyDescent="0.25">
      <c r="L114" s="121" t="s">
        <v>192</v>
      </c>
      <c r="M114" s="69" t="s">
        <v>19</v>
      </c>
      <c r="N114" s="69" t="str">
        <f>VLOOKUP($L$4,'[1]POS_EAD_0112 a 3101_CAMP. REG)'!$F$5:$G$231,2,FALSE)</f>
        <v>Humanas</v>
      </c>
      <c r="O114" s="69">
        <f>VLOOKUP(L114,'[1]POS_EAD_0112 a 3101_CAMP. REG)'!$F$5:$H$231,3,FALSE)</f>
        <v>12</v>
      </c>
      <c r="P114" s="68">
        <f>VLOOKUP(L114,'[1]POS_EAD_0112 a 3101_CAMP. REG)'!$F$5:$I$231,4,FALSE)</f>
        <v>19</v>
      </c>
      <c r="Q114" s="73">
        <f>VLOOKUP(L114,'[1]POS_EAD_0112 a 3101_CAMP. REG)'!$F$5:$J$231,5,FALSE)</f>
        <v>277.58266800000001</v>
      </c>
      <c r="R114" s="124">
        <f>VLOOKUP(L114,'[1]POS_EAD_0112 a 3101_CAMP. REG)'!$F$5:$L$231,7,FALSE)</f>
        <v>0.45</v>
      </c>
      <c r="S114" s="73">
        <f>VLOOKUP(L114,'[1]POS_EAD_0112 a 3101_CAMP. REG)'!$F$5:$M$231,8,FALSE)</f>
        <v>137.4</v>
      </c>
      <c r="T114" s="124">
        <f>VLOOKUP(L114,'[1]POS_EAD_0112 a 3101_CAMP. REG)'!$F$5:$P$231,11,FALSE)</f>
        <v>0.5</v>
      </c>
      <c r="U114" s="73">
        <f>VLOOKUP(L114,'[1]POS_EAD_0112 a 3101_CAMP. REG)'!$F$5:$Q$231,12,FALSE)</f>
        <v>124.91</v>
      </c>
      <c r="W114" s="121" t="s">
        <v>192</v>
      </c>
      <c r="X114" s="69" t="s">
        <v>19</v>
      </c>
      <c r="Y114" s="69" t="str">
        <f>VLOOKUP(W114,'[1]POS_EAD_0112 a 3101_CAMP. REG)'!$F$231:$G$461,2,FALSE)</f>
        <v>Saúde</v>
      </c>
      <c r="Z114" s="68">
        <f>VLOOKUP(W114,'[1]POS_EAD_0112 a 3101_CAMP. REG)'!$F$231:$H$461,3,FALSE)</f>
        <v>12</v>
      </c>
      <c r="AA114" s="68">
        <f>VLOOKUP(W114,'[1]POS_EAD_0112 a 3101_CAMP. REG)'!$F$231:$I$461,4,FALSE)</f>
        <v>19</v>
      </c>
      <c r="AB114" s="73">
        <f>VLOOKUP(W114,'[1]POS_EAD_0112 a 3101_CAMP. REG)'!$F$231:$J$461,5,FALSE)</f>
        <v>300.91749900000002</v>
      </c>
      <c r="AC114" s="72">
        <f>VLOOKUP(W114,'[1]POS_EAD_0112 a 3101_CAMP. REG)'!$F$231:$L$461,7,FALSE)</f>
        <v>0.45</v>
      </c>
      <c r="AD114" s="73">
        <f>VLOOKUP(W114,'[1]POS_EAD_0112 a 3101_CAMP. REG)'!$F$231:$M$461,8,FALSE)</f>
        <v>148.94999999999999</v>
      </c>
      <c r="AE114" s="72">
        <f>VLOOKUP(W114,'[1]POS_EAD_0112 a 3101_CAMP. REG)'!$F$231:$P$461,11,FALSE)</f>
        <v>0.5</v>
      </c>
      <c r="AF114" s="73">
        <f>VLOOKUP(W114,'[1]POS_EAD_0112 a 3101_CAMP. REG)'!$F$231:$Q$461,12,FALSE)</f>
        <v>135.41</v>
      </c>
      <c r="AH114" s="121" t="s">
        <v>192</v>
      </c>
      <c r="AI114" s="69" t="s">
        <v>19</v>
      </c>
      <c r="AJ114" s="68" t="str">
        <f>VLOOKUP(UNG[[#This Row],[CURSO]],'[1]POS_EAD_0112 a 3101_CAMP. REG)'!$F$463:$G$688,2,FALSE)</f>
        <v>Saúde</v>
      </c>
      <c r="AK114" s="68">
        <f>VLOOKUP(UNG[[#This Row],[CURSO]],'[1]POS_EAD_0112 a 3101_CAMP. REG)'!$F$463:$H$688,3,FALSE)</f>
        <v>12</v>
      </c>
      <c r="AL114" s="68">
        <f>VLOOKUP(UNG[[#This Row],[CURSO]],'[1]POS_EAD_0112 a 3101_CAMP. REG)'!$F$463:$I$688,4,FALSE)</f>
        <v>19</v>
      </c>
      <c r="AM114" s="71">
        <f>VLOOKUP(UNG[[#This Row],[CURSO]],'[1]POS_EAD_0112 a 3101_CAMP. REG)'!$F$463:$J$688,5,FALSE)</f>
        <v>277.58266800000001</v>
      </c>
      <c r="AN114" s="124">
        <f>VLOOKUP(UNG[[#This Row],[CURSO]],'[1]POS_EAD_0112 a 3101_CAMP. REG)'!$F$463:$L$688,7,FALSE)</f>
        <v>0.45</v>
      </c>
      <c r="AO114" s="71">
        <f>VLOOKUP(UNG[[#This Row],[CURSO]],'[1]POS_EAD_0112 a 3101_CAMP. REG)'!$F$463:$M$688,8,FALSE)</f>
        <v>137.4</v>
      </c>
      <c r="AP114" s="124">
        <f>VLOOKUP(UNG[[#This Row],[CURSO]],'[1]POS_EAD_0112 a 3101_CAMP. REG)'!$F$463:$P$688,11,FALSE)</f>
        <v>0.5</v>
      </c>
      <c r="AQ114" s="71">
        <f>VLOOKUP(UNG[[#This Row],[CURSO]],'[1]POS_EAD_0112 a 3101_CAMP. REG)'!$F$463:$Q$688,12,FALSE)</f>
        <v>124.91</v>
      </c>
      <c r="AS114" s="121" t="s">
        <v>192</v>
      </c>
      <c r="AT114" s="69" t="s">
        <v>19</v>
      </c>
      <c r="AU114" s="69" t="str">
        <f>VLOOKUP(UNINASSAU[[#This Row],[CURSO]],'[1]POS_EAD_0112 a 3101_CAMP. REG)'!$F$690:$G$915,2,FALSE)</f>
        <v>Saúde</v>
      </c>
      <c r="AV114" s="69">
        <f>VLOOKUP(UNINASSAU[[#This Row],[CURSO]],'[1]POS_EAD_0112 a 3101_CAMP. REG)'!$F$690:$H$915,3,FALSE)</f>
        <v>12</v>
      </c>
      <c r="AW114" s="69">
        <f>VLOOKUP(UNINASSAU[[#This Row],[CURSO]],'[1]POS_EAD_0112 a 3101_CAMP. REG)'!$F$690:$I$915,4,FALSE)</f>
        <v>19</v>
      </c>
      <c r="AX114" s="73">
        <f>VLOOKUP(UNINASSAU[[#This Row],[CURSO]],'[1]POS_EAD_0112 a 3101_CAMP. REG)'!$F$690:$J$915,5,FALSE)</f>
        <v>277.58266800000001</v>
      </c>
      <c r="AY114" s="72">
        <f>VLOOKUP(UNINASSAU[[#This Row],[CURSO]],'[1]POS_EAD_0112 a 3101_CAMP. REG)'!$F$690:$L$915,7,FALSE)</f>
        <v>0.45</v>
      </c>
      <c r="AZ114" s="73">
        <f>VLOOKUP(UNINASSAU[[#This Row],[CURSO]],'[1]POS_EAD_0112 a 3101_CAMP. REG)'!$F$690:$N$915,8,FALSE)</f>
        <v>137.4</v>
      </c>
      <c r="BA114" s="72">
        <f>VLOOKUP(UNINASSAU[[#This Row],[CURSO]],'[1]POS_EAD_0112 a 3101_CAMP. REG)'!$F$690:$P$915,11,FALSE)</f>
        <v>0.5</v>
      </c>
      <c r="BB114" s="73">
        <f>VLOOKUP(UNINASSAU[[#This Row],[CURSO]],'[1]POS_EAD_0112 a 3101_CAMP. REG)'!$F$690:$Q$915,12,FALSE)</f>
        <v>124.91</v>
      </c>
      <c r="BD114" s="104">
        <v>111</v>
      </c>
      <c r="BE114" s="121" t="s">
        <v>192</v>
      </c>
      <c r="BF114" s="69" t="s">
        <v>19</v>
      </c>
    </row>
    <row r="115" spans="12:58" x14ac:dyDescent="0.25">
      <c r="L115" s="121" t="s">
        <v>189</v>
      </c>
      <c r="M115" s="69" t="s">
        <v>19</v>
      </c>
      <c r="N115" s="69" t="str">
        <f>VLOOKUP($L$4,'[1]POS_EAD_0112 a 3101_CAMP. REG)'!$F$5:$G$231,2,FALSE)</f>
        <v>Humanas</v>
      </c>
      <c r="O115" s="69">
        <f>VLOOKUP(L115,'[1]POS_EAD_0112 a 3101_CAMP. REG)'!$F$5:$H$231,3,FALSE)</f>
        <v>12</v>
      </c>
      <c r="P115" s="68">
        <f>VLOOKUP(L115,'[1]POS_EAD_0112 a 3101_CAMP. REG)'!$F$5:$I$231,4,FALSE)</f>
        <v>19</v>
      </c>
      <c r="Q115" s="73">
        <f>VLOOKUP(L115,'[1]POS_EAD_0112 a 3101_CAMP. REG)'!$F$5:$J$231,5,FALSE)</f>
        <v>277.58266800000001</v>
      </c>
      <c r="R115" s="124">
        <f>VLOOKUP(L115,'[1]POS_EAD_0112 a 3101_CAMP. REG)'!$F$5:$L$231,7,FALSE)</f>
        <v>0.45</v>
      </c>
      <c r="S115" s="73">
        <f>VLOOKUP(L115,'[1]POS_EAD_0112 a 3101_CAMP. REG)'!$F$5:$M$231,8,FALSE)</f>
        <v>137.4</v>
      </c>
      <c r="T115" s="124">
        <f>VLOOKUP(L115,'[1]POS_EAD_0112 a 3101_CAMP. REG)'!$F$5:$P$231,11,FALSE)</f>
        <v>0.5</v>
      </c>
      <c r="U115" s="73">
        <f>VLOOKUP(L115,'[1]POS_EAD_0112 a 3101_CAMP. REG)'!$F$5:$Q$231,12,FALSE)</f>
        <v>124.91</v>
      </c>
      <c r="W115" s="121" t="s">
        <v>189</v>
      </c>
      <c r="X115" s="69" t="s">
        <v>19</v>
      </c>
      <c r="Y115" s="69" t="str">
        <f>VLOOKUP(W115,'[1]POS_EAD_0112 a 3101_CAMP. REG)'!$F$231:$G$461,2,FALSE)</f>
        <v>Saúde</v>
      </c>
      <c r="Z115" s="68">
        <f>VLOOKUP(W115,'[1]POS_EAD_0112 a 3101_CAMP. REG)'!$F$231:$H$461,3,FALSE)</f>
        <v>12</v>
      </c>
      <c r="AA115" s="68">
        <f>VLOOKUP(W115,'[1]POS_EAD_0112 a 3101_CAMP. REG)'!$F$231:$I$461,4,FALSE)</f>
        <v>19</v>
      </c>
      <c r="AB115" s="73">
        <f>VLOOKUP(W115,'[1]POS_EAD_0112 a 3101_CAMP. REG)'!$F$231:$J$461,5,FALSE)</f>
        <v>300.91749900000002</v>
      </c>
      <c r="AC115" s="72">
        <f>VLOOKUP(W115,'[1]POS_EAD_0112 a 3101_CAMP. REG)'!$F$231:$L$461,7,FALSE)</f>
        <v>0.45</v>
      </c>
      <c r="AD115" s="73">
        <f>VLOOKUP(W115,'[1]POS_EAD_0112 a 3101_CAMP. REG)'!$F$231:$M$461,8,FALSE)</f>
        <v>148.94999999999999</v>
      </c>
      <c r="AE115" s="72">
        <f>VLOOKUP(W115,'[1]POS_EAD_0112 a 3101_CAMP. REG)'!$F$231:$P$461,11,FALSE)</f>
        <v>0.5</v>
      </c>
      <c r="AF115" s="73">
        <f>VLOOKUP(W115,'[1]POS_EAD_0112 a 3101_CAMP. REG)'!$F$231:$Q$461,12,FALSE)</f>
        <v>135.41</v>
      </c>
      <c r="AH115" s="121" t="s">
        <v>189</v>
      </c>
      <c r="AI115" s="69" t="s">
        <v>19</v>
      </c>
      <c r="AJ115" s="68" t="str">
        <f>VLOOKUP(UNG[[#This Row],[CURSO]],'[1]POS_EAD_0112 a 3101_CAMP. REG)'!$F$463:$G$688,2,FALSE)</f>
        <v>Saúde</v>
      </c>
      <c r="AK115" s="68">
        <f>VLOOKUP(UNG[[#This Row],[CURSO]],'[1]POS_EAD_0112 a 3101_CAMP. REG)'!$F$463:$H$688,3,FALSE)</f>
        <v>12</v>
      </c>
      <c r="AL115" s="68">
        <f>VLOOKUP(UNG[[#This Row],[CURSO]],'[1]POS_EAD_0112 a 3101_CAMP. REG)'!$F$463:$I$688,4,FALSE)</f>
        <v>19</v>
      </c>
      <c r="AM115" s="71">
        <f>VLOOKUP(UNG[[#This Row],[CURSO]],'[1]POS_EAD_0112 a 3101_CAMP. REG)'!$F$463:$J$688,5,FALSE)</f>
        <v>277.58266800000001</v>
      </c>
      <c r="AN115" s="124">
        <f>VLOOKUP(UNG[[#This Row],[CURSO]],'[1]POS_EAD_0112 a 3101_CAMP. REG)'!$F$463:$L$688,7,FALSE)</f>
        <v>0.45</v>
      </c>
      <c r="AO115" s="71">
        <f>VLOOKUP(UNG[[#This Row],[CURSO]],'[1]POS_EAD_0112 a 3101_CAMP. REG)'!$F$463:$M$688,8,FALSE)</f>
        <v>137.4</v>
      </c>
      <c r="AP115" s="124">
        <f>VLOOKUP(UNG[[#This Row],[CURSO]],'[1]POS_EAD_0112 a 3101_CAMP. REG)'!$F$463:$P$688,11,FALSE)</f>
        <v>0.5</v>
      </c>
      <c r="AQ115" s="71">
        <f>VLOOKUP(UNG[[#This Row],[CURSO]],'[1]POS_EAD_0112 a 3101_CAMP. REG)'!$F$463:$Q$688,12,FALSE)</f>
        <v>124.91</v>
      </c>
      <c r="AS115" s="121" t="s">
        <v>189</v>
      </c>
      <c r="AT115" s="69" t="s">
        <v>19</v>
      </c>
      <c r="AU115" s="69" t="str">
        <f>VLOOKUP(UNINASSAU[[#This Row],[CURSO]],'[1]POS_EAD_0112 a 3101_CAMP. REG)'!$F$690:$G$915,2,FALSE)</f>
        <v>Saúde</v>
      </c>
      <c r="AV115" s="69">
        <f>VLOOKUP(UNINASSAU[[#This Row],[CURSO]],'[1]POS_EAD_0112 a 3101_CAMP. REG)'!$F$690:$H$915,3,FALSE)</f>
        <v>12</v>
      </c>
      <c r="AW115" s="69">
        <f>VLOOKUP(UNINASSAU[[#This Row],[CURSO]],'[1]POS_EAD_0112 a 3101_CAMP. REG)'!$F$690:$I$915,4,FALSE)</f>
        <v>19</v>
      </c>
      <c r="AX115" s="73">
        <f>VLOOKUP(UNINASSAU[[#This Row],[CURSO]],'[1]POS_EAD_0112 a 3101_CAMP. REG)'!$F$690:$J$915,5,FALSE)</f>
        <v>277.58266800000001</v>
      </c>
      <c r="AY115" s="72">
        <f>VLOOKUP(UNINASSAU[[#This Row],[CURSO]],'[1]POS_EAD_0112 a 3101_CAMP. REG)'!$F$690:$L$915,7,FALSE)</f>
        <v>0.45</v>
      </c>
      <c r="AZ115" s="73">
        <f>VLOOKUP(UNINASSAU[[#This Row],[CURSO]],'[1]POS_EAD_0112 a 3101_CAMP. REG)'!$F$690:$N$915,8,FALSE)</f>
        <v>137.4</v>
      </c>
      <c r="BA115" s="72">
        <f>VLOOKUP(UNINASSAU[[#This Row],[CURSO]],'[1]POS_EAD_0112 a 3101_CAMP. REG)'!$F$690:$P$915,11,FALSE)</f>
        <v>0.5</v>
      </c>
      <c r="BB115" s="73">
        <f>VLOOKUP(UNINASSAU[[#This Row],[CURSO]],'[1]POS_EAD_0112 a 3101_CAMP. REG)'!$F$690:$Q$915,12,FALSE)</f>
        <v>124.91</v>
      </c>
      <c r="BD115" s="104">
        <v>112</v>
      </c>
      <c r="BE115" s="121" t="s">
        <v>189</v>
      </c>
      <c r="BF115" s="69" t="s">
        <v>19</v>
      </c>
    </row>
    <row r="116" spans="12:58" x14ac:dyDescent="0.25">
      <c r="L116" s="121" t="s">
        <v>92</v>
      </c>
      <c r="M116" s="69" t="s">
        <v>19</v>
      </c>
      <c r="N116" s="69" t="str">
        <f>VLOOKUP($L$4,'[1]POS_EAD_0112 a 3101_CAMP. REG)'!$F$5:$G$231,2,FALSE)</f>
        <v>Humanas</v>
      </c>
      <c r="O116" s="69">
        <f>VLOOKUP(L116,'[1]POS_EAD_0112 a 3101_CAMP. REG)'!$F$5:$H$231,3,FALSE)</f>
        <v>12</v>
      </c>
      <c r="P116" s="68">
        <f>VLOOKUP(L116,'[1]POS_EAD_0112 a 3101_CAMP. REG)'!$F$5:$I$231,4,FALSE)</f>
        <v>19</v>
      </c>
      <c r="Q116" s="73">
        <f>VLOOKUP(L116,'[1]POS_EAD_0112 a 3101_CAMP. REG)'!$F$5:$J$231,5,FALSE)</f>
        <v>184.28091221052631</v>
      </c>
      <c r="R116" s="124">
        <f>VLOOKUP(L116,'[1]POS_EAD_0112 a 3101_CAMP. REG)'!$F$5:$L$231,7,FALSE)</f>
        <v>0.45</v>
      </c>
      <c r="S116" s="73">
        <f>VLOOKUP(L116,'[1]POS_EAD_0112 a 3101_CAMP. REG)'!$F$5:$M$231,8,FALSE)</f>
        <v>91.22</v>
      </c>
      <c r="T116" s="124">
        <f>VLOOKUP(L116,'[1]POS_EAD_0112 a 3101_CAMP. REG)'!$F$5:$P$231,11,FALSE)</f>
        <v>0.5</v>
      </c>
      <c r="U116" s="73">
        <f>VLOOKUP(L116,'[1]POS_EAD_0112 a 3101_CAMP. REG)'!$F$5:$Q$231,12,FALSE)</f>
        <v>82.93</v>
      </c>
      <c r="W116" s="121" t="s">
        <v>92</v>
      </c>
      <c r="X116" s="69" t="s">
        <v>19</v>
      </c>
      <c r="Y116" s="69" t="str">
        <f>VLOOKUP(W116,'[1]POS_EAD_0112 a 3101_CAMP. REG)'!$F$231:$G$461,2,FALSE)</f>
        <v>Exatas</v>
      </c>
      <c r="Z116" s="68">
        <f>VLOOKUP(W116,'[1]POS_EAD_0112 a 3101_CAMP. REG)'!$F$231:$H$461,3,FALSE)</f>
        <v>12</v>
      </c>
      <c r="AA116" s="68">
        <f>VLOOKUP(W116,'[1]POS_EAD_0112 a 3101_CAMP. REG)'!$F$231:$I$461,4,FALSE)</f>
        <v>19</v>
      </c>
      <c r="AB116" s="73">
        <f>VLOOKUP(W116,'[1]POS_EAD_0112 a 3101_CAMP. REG)'!$F$231:$J$461,5,FALSE)</f>
        <v>207.609666</v>
      </c>
      <c r="AC116" s="72">
        <f>VLOOKUP(W116,'[1]POS_EAD_0112 a 3101_CAMP. REG)'!$F$231:$L$461,7,FALSE)</f>
        <v>0.45</v>
      </c>
      <c r="AD116" s="73">
        <f>VLOOKUP(W116,'[1]POS_EAD_0112 a 3101_CAMP. REG)'!$F$231:$M$461,8,FALSE)</f>
        <v>102.77</v>
      </c>
      <c r="AE116" s="72">
        <f>VLOOKUP(W116,'[1]POS_EAD_0112 a 3101_CAMP. REG)'!$F$231:$P$461,11,FALSE)</f>
        <v>0.5</v>
      </c>
      <c r="AF116" s="73">
        <f>VLOOKUP(W116,'[1]POS_EAD_0112 a 3101_CAMP. REG)'!$F$231:$Q$461,12,FALSE)</f>
        <v>93.42</v>
      </c>
      <c r="AH116" s="121" t="s">
        <v>92</v>
      </c>
      <c r="AI116" s="69" t="s">
        <v>19</v>
      </c>
      <c r="AJ116" s="68" t="str">
        <f>VLOOKUP(UNG[[#This Row],[CURSO]],'[1]POS_EAD_0112 a 3101_CAMP. REG)'!$F$463:$G$688,2,FALSE)</f>
        <v>Exatas</v>
      </c>
      <c r="AK116" s="68">
        <f>VLOOKUP(UNG[[#This Row],[CURSO]],'[1]POS_EAD_0112 a 3101_CAMP. REG)'!$F$463:$H$688,3,FALSE)</f>
        <v>12</v>
      </c>
      <c r="AL116" s="68">
        <f>VLOOKUP(UNG[[#This Row],[CURSO]],'[1]POS_EAD_0112 a 3101_CAMP. REG)'!$F$463:$I$688,4,FALSE)</f>
        <v>19</v>
      </c>
      <c r="AM116" s="71">
        <f>VLOOKUP(UNG[[#This Row],[CURSO]],'[1]POS_EAD_0112 a 3101_CAMP. REG)'!$F$463:$J$688,5,FALSE)</f>
        <v>184.28091221052631</v>
      </c>
      <c r="AN116" s="124">
        <f>VLOOKUP(UNG[[#This Row],[CURSO]],'[1]POS_EAD_0112 a 3101_CAMP. REG)'!$F$463:$L$688,7,FALSE)</f>
        <v>0.45</v>
      </c>
      <c r="AO116" s="71">
        <f>VLOOKUP(UNG[[#This Row],[CURSO]],'[1]POS_EAD_0112 a 3101_CAMP. REG)'!$F$463:$M$688,8,FALSE)</f>
        <v>91.22</v>
      </c>
      <c r="AP116" s="124">
        <f>VLOOKUP(UNG[[#This Row],[CURSO]],'[1]POS_EAD_0112 a 3101_CAMP. REG)'!$F$463:$P$688,11,FALSE)</f>
        <v>0.5</v>
      </c>
      <c r="AQ116" s="71">
        <f>VLOOKUP(UNG[[#This Row],[CURSO]],'[1]POS_EAD_0112 a 3101_CAMP. REG)'!$F$463:$Q$688,12,FALSE)</f>
        <v>82.93</v>
      </c>
      <c r="AS116" s="121" t="s">
        <v>92</v>
      </c>
      <c r="AT116" s="69" t="s">
        <v>19</v>
      </c>
      <c r="AU116" s="69" t="str">
        <f>VLOOKUP(UNINASSAU[[#This Row],[CURSO]],'[1]POS_EAD_0112 a 3101_CAMP. REG)'!$F$690:$G$915,2,FALSE)</f>
        <v>Exatas</v>
      </c>
      <c r="AV116" s="69">
        <f>VLOOKUP(UNINASSAU[[#This Row],[CURSO]],'[1]POS_EAD_0112 a 3101_CAMP. REG)'!$F$690:$H$915,3,FALSE)</f>
        <v>12</v>
      </c>
      <c r="AW116" s="69">
        <f>VLOOKUP(UNINASSAU[[#This Row],[CURSO]],'[1]POS_EAD_0112 a 3101_CAMP. REG)'!$F$690:$I$915,4,FALSE)</f>
        <v>19</v>
      </c>
      <c r="AX116" s="73">
        <f>VLOOKUP(UNINASSAU[[#This Row],[CURSO]],'[1]POS_EAD_0112 a 3101_CAMP. REG)'!$F$690:$J$915,5,FALSE)</f>
        <v>184.28091221052631</v>
      </c>
      <c r="AY116" s="72">
        <f>VLOOKUP(UNINASSAU[[#This Row],[CURSO]],'[1]POS_EAD_0112 a 3101_CAMP. REG)'!$F$690:$L$915,7,FALSE)</f>
        <v>0.45</v>
      </c>
      <c r="AZ116" s="73">
        <f>VLOOKUP(UNINASSAU[[#This Row],[CURSO]],'[1]POS_EAD_0112 a 3101_CAMP. REG)'!$F$690:$N$915,8,FALSE)</f>
        <v>91.22</v>
      </c>
      <c r="BA116" s="72">
        <f>VLOOKUP(UNINASSAU[[#This Row],[CURSO]],'[1]POS_EAD_0112 a 3101_CAMP. REG)'!$F$690:$P$915,11,FALSE)</f>
        <v>0.5</v>
      </c>
      <c r="BB116" s="73">
        <f>VLOOKUP(UNINASSAU[[#This Row],[CURSO]],'[1]POS_EAD_0112 a 3101_CAMP. REG)'!$F$690:$Q$915,12,FALSE)</f>
        <v>82.93</v>
      </c>
      <c r="BD116" s="104">
        <v>113</v>
      </c>
      <c r="BE116" s="121" t="s">
        <v>92</v>
      </c>
      <c r="BF116" s="69" t="s">
        <v>19</v>
      </c>
    </row>
    <row r="117" spans="12:58" x14ac:dyDescent="0.25">
      <c r="L117" s="121" t="s">
        <v>127</v>
      </c>
      <c r="M117" s="69" t="s">
        <v>19</v>
      </c>
      <c r="N117" s="69" t="str">
        <f>VLOOKUP($L$4,'[1]POS_EAD_0112 a 3101_CAMP. REG)'!$F$5:$G$231,2,FALSE)</f>
        <v>Humanas</v>
      </c>
      <c r="O117" s="69">
        <f>VLOOKUP(L117,'[1]POS_EAD_0112 a 3101_CAMP. REG)'!$F$5:$H$231,3,FALSE)</f>
        <v>12</v>
      </c>
      <c r="P117" s="68">
        <f>VLOOKUP(L117,'[1]POS_EAD_0112 a 3101_CAMP. REG)'!$F$5:$I$231,4,FALSE)</f>
        <v>19</v>
      </c>
      <c r="Q117" s="73">
        <f>VLOOKUP(L117,'[1]POS_EAD_0112 a 3101_CAMP. REG)'!$F$5:$J$231,5,FALSE)</f>
        <v>277.58266800000001</v>
      </c>
      <c r="R117" s="124">
        <f>VLOOKUP(L117,'[1]POS_EAD_0112 a 3101_CAMP. REG)'!$F$5:$L$231,7,FALSE)</f>
        <v>0.45</v>
      </c>
      <c r="S117" s="73">
        <f>VLOOKUP(L117,'[1]POS_EAD_0112 a 3101_CAMP. REG)'!$F$5:$M$231,8,FALSE)</f>
        <v>137.4</v>
      </c>
      <c r="T117" s="124">
        <f>VLOOKUP(L117,'[1]POS_EAD_0112 a 3101_CAMP. REG)'!$F$5:$P$231,11,FALSE)</f>
        <v>0.5</v>
      </c>
      <c r="U117" s="73">
        <f>VLOOKUP(L117,'[1]POS_EAD_0112 a 3101_CAMP. REG)'!$F$5:$Q$231,12,FALSE)</f>
        <v>124.91</v>
      </c>
      <c r="W117" s="121" t="s">
        <v>127</v>
      </c>
      <c r="X117" s="69" t="s">
        <v>19</v>
      </c>
      <c r="Y117" s="69" t="str">
        <f>VLOOKUP(W117,'[1]POS_EAD_0112 a 3101_CAMP. REG)'!$F$231:$G$461,2,FALSE)</f>
        <v>Saúde</v>
      </c>
      <c r="Z117" s="68">
        <f>VLOOKUP(W117,'[1]POS_EAD_0112 a 3101_CAMP. REG)'!$F$231:$H$461,3,FALSE)</f>
        <v>12</v>
      </c>
      <c r="AA117" s="68">
        <f>VLOOKUP(W117,'[1]POS_EAD_0112 a 3101_CAMP. REG)'!$F$231:$I$461,4,FALSE)</f>
        <v>19</v>
      </c>
      <c r="AB117" s="73">
        <f>VLOOKUP(W117,'[1]POS_EAD_0112 a 3101_CAMP. REG)'!$F$231:$J$461,5,FALSE)</f>
        <v>300.91749900000002</v>
      </c>
      <c r="AC117" s="72">
        <f>VLOOKUP(W117,'[1]POS_EAD_0112 a 3101_CAMP. REG)'!$F$231:$L$461,7,FALSE)</f>
        <v>0.45</v>
      </c>
      <c r="AD117" s="73">
        <f>VLOOKUP(W117,'[1]POS_EAD_0112 a 3101_CAMP. REG)'!$F$231:$M$461,8,FALSE)</f>
        <v>148.94999999999999</v>
      </c>
      <c r="AE117" s="72">
        <f>VLOOKUP(W117,'[1]POS_EAD_0112 a 3101_CAMP. REG)'!$F$231:$P$461,11,FALSE)</f>
        <v>0.5</v>
      </c>
      <c r="AF117" s="73">
        <f>VLOOKUP(W117,'[1]POS_EAD_0112 a 3101_CAMP. REG)'!$F$231:$Q$461,12,FALSE)</f>
        <v>135.41</v>
      </c>
      <c r="AH117" s="121" t="s">
        <v>127</v>
      </c>
      <c r="AI117" s="69" t="s">
        <v>19</v>
      </c>
      <c r="AJ117" s="68" t="str">
        <f>VLOOKUP(UNG[[#This Row],[CURSO]],'[1]POS_EAD_0112 a 3101_CAMP. REG)'!$F$463:$G$688,2,FALSE)</f>
        <v>Saúde</v>
      </c>
      <c r="AK117" s="68">
        <f>VLOOKUP(UNG[[#This Row],[CURSO]],'[1]POS_EAD_0112 a 3101_CAMP. REG)'!$F$463:$H$688,3,FALSE)</f>
        <v>12</v>
      </c>
      <c r="AL117" s="68">
        <f>VLOOKUP(UNG[[#This Row],[CURSO]],'[1]POS_EAD_0112 a 3101_CAMP. REG)'!$F$463:$I$688,4,FALSE)</f>
        <v>19</v>
      </c>
      <c r="AM117" s="71">
        <f>VLOOKUP(UNG[[#This Row],[CURSO]],'[1]POS_EAD_0112 a 3101_CAMP. REG)'!$F$463:$J$688,5,FALSE)</f>
        <v>277.58266800000001</v>
      </c>
      <c r="AN117" s="124">
        <f>VLOOKUP(UNG[[#This Row],[CURSO]],'[1]POS_EAD_0112 a 3101_CAMP. REG)'!$F$463:$L$688,7,FALSE)</f>
        <v>0.45</v>
      </c>
      <c r="AO117" s="71">
        <f>VLOOKUP(UNG[[#This Row],[CURSO]],'[1]POS_EAD_0112 a 3101_CAMP. REG)'!$F$463:$M$688,8,FALSE)</f>
        <v>137.4</v>
      </c>
      <c r="AP117" s="124">
        <f>VLOOKUP(UNG[[#This Row],[CURSO]],'[1]POS_EAD_0112 a 3101_CAMP. REG)'!$F$463:$P$688,11,FALSE)</f>
        <v>0.5</v>
      </c>
      <c r="AQ117" s="71">
        <f>VLOOKUP(UNG[[#This Row],[CURSO]],'[1]POS_EAD_0112 a 3101_CAMP. REG)'!$F$463:$Q$688,12,FALSE)</f>
        <v>124.91</v>
      </c>
      <c r="AS117" s="121" t="s">
        <v>127</v>
      </c>
      <c r="AT117" s="69" t="s">
        <v>19</v>
      </c>
      <c r="AU117" s="69" t="str">
        <f>VLOOKUP(UNINASSAU[[#This Row],[CURSO]],'[1]POS_EAD_0112 a 3101_CAMP. REG)'!$F$690:$G$915,2,FALSE)</f>
        <v>Saúde</v>
      </c>
      <c r="AV117" s="69">
        <f>VLOOKUP(UNINASSAU[[#This Row],[CURSO]],'[1]POS_EAD_0112 a 3101_CAMP. REG)'!$F$690:$H$915,3,FALSE)</f>
        <v>12</v>
      </c>
      <c r="AW117" s="69">
        <f>VLOOKUP(UNINASSAU[[#This Row],[CURSO]],'[1]POS_EAD_0112 a 3101_CAMP. REG)'!$F$690:$I$915,4,FALSE)</f>
        <v>19</v>
      </c>
      <c r="AX117" s="73">
        <f>VLOOKUP(UNINASSAU[[#This Row],[CURSO]],'[1]POS_EAD_0112 a 3101_CAMP. REG)'!$F$690:$J$915,5,FALSE)</f>
        <v>277.58266800000001</v>
      </c>
      <c r="AY117" s="72">
        <f>VLOOKUP(UNINASSAU[[#This Row],[CURSO]],'[1]POS_EAD_0112 a 3101_CAMP. REG)'!$F$690:$L$915,7,FALSE)</f>
        <v>0.45</v>
      </c>
      <c r="AZ117" s="73">
        <f>VLOOKUP(UNINASSAU[[#This Row],[CURSO]],'[1]POS_EAD_0112 a 3101_CAMP. REG)'!$F$690:$N$915,8,FALSE)</f>
        <v>137.4</v>
      </c>
      <c r="BA117" s="72">
        <f>VLOOKUP(UNINASSAU[[#This Row],[CURSO]],'[1]POS_EAD_0112 a 3101_CAMP. REG)'!$F$690:$P$915,11,FALSE)</f>
        <v>0.5</v>
      </c>
      <c r="BB117" s="73">
        <f>VLOOKUP(UNINASSAU[[#This Row],[CURSO]],'[1]POS_EAD_0112 a 3101_CAMP. REG)'!$F$690:$Q$915,12,FALSE)</f>
        <v>124.91</v>
      </c>
      <c r="BD117" s="104">
        <v>114</v>
      </c>
      <c r="BE117" s="121" t="s">
        <v>127</v>
      </c>
      <c r="BF117" s="69" t="s">
        <v>19</v>
      </c>
    </row>
    <row r="118" spans="12:58" x14ac:dyDescent="0.25">
      <c r="L118" s="121" t="s">
        <v>88</v>
      </c>
      <c r="M118" s="69" t="s">
        <v>19</v>
      </c>
      <c r="N118" s="69" t="str">
        <f>VLOOKUP($L$4,'[1]POS_EAD_0112 a 3101_CAMP. REG)'!$F$5:$G$231,2,FALSE)</f>
        <v>Humanas</v>
      </c>
      <c r="O118" s="69">
        <f>VLOOKUP(L118,'[1]POS_EAD_0112 a 3101_CAMP. REG)'!$F$5:$H$231,3,FALSE)</f>
        <v>12</v>
      </c>
      <c r="P118" s="68">
        <f>VLOOKUP(L118,'[1]POS_EAD_0112 a 3101_CAMP. REG)'!$F$5:$I$231,4,FALSE)</f>
        <v>19</v>
      </c>
      <c r="Q118" s="73">
        <f>VLOOKUP(L118,'[1]POS_EAD_0112 a 3101_CAMP. REG)'!$F$5:$J$231,5,FALSE)</f>
        <v>277.58266800000001</v>
      </c>
      <c r="R118" s="124">
        <f>VLOOKUP(L118,'[1]POS_EAD_0112 a 3101_CAMP. REG)'!$F$5:$L$231,7,FALSE)</f>
        <v>0.45</v>
      </c>
      <c r="S118" s="73">
        <f>VLOOKUP(L118,'[1]POS_EAD_0112 a 3101_CAMP. REG)'!$F$5:$M$231,8,FALSE)</f>
        <v>137.4</v>
      </c>
      <c r="T118" s="124">
        <f>VLOOKUP(L118,'[1]POS_EAD_0112 a 3101_CAMP. REG)'!$F$5:$P$231,11,FALSE)</f>
        <v>0.5</v>
      </c>
      <c r="U118" s="73">
        <f>VLOOKUP(L118,'[1]POS_EAD_0112 a 3101_CAMP. REG)'!$F$5:$Q$231,12,FALSE)</f>
        <v>124.91</v>
      </c>
      <c r="W118" s="121" t="s">
        <v>88</v>
      </c>
      <c r="X118" s="69" t="s">
        <v>19</v>
      </c>
      <c r="Y118" s="69" t="str">
        <f>VLOOKUP(W118,'[1]POS_EAD_0112 a 3101_CAMP. REG)'!$F$231:$G$461,2,FALSE)</f>
        <v>Saúde</v>
      </c>
      <c r="Z118" s="68">
        <f>VLOOKUP(W118,'[1]POS_EAD_0112 a 3101_CAMP. REG)'!$F$231:$H$461,3,FALSE)</f>
        <v>12</v>
      </c>
      <c r="AA118" s="68">
        <f>VLOOKUP(W118,'[1]POS_EAD_0112 a 3101_CAMP. REG)'!$F$231:$I$461,4,FALSE)</f>
        <v>19</v>
      </c>
      <c r="AB118" s="73">
        <f>VLOOKUP(W118,'[1]POS_EAD_0112 a 3101_CAMP. REG)'!$F$231:$J$461,5,FALSE)</f>
        <v>300.91749900000002</v>
      </c>
      <c r="AC118" s="72">
        <f>VLOOKUP(W118,'[1]POS_EAD_0112 a 3101_CAMP. REG)'!$F$231:$L$461,7,FALSE)</f>
        <v>0.45</v>
      </c>
      <c r="AD118" s="73">
        <f>VLOOKUP(W118,'[1]POS_EAD_0112 a 3101_CAMP. REG)'!$F$231:$M$461,8,FALSE)</f>
        <v>148.94999999999999</v>
      </c>
      <c r="AE118" s="72">
        <f>VLOOKUP(W118,'[1]POS_EAD_0112 a 3101_CAMP. REG)'!$F$231:$P$461,11,FALSE)</f>
        <v>0.5</v>
      </c>
      <c r="AF118" s="73">
        <f>VLOOKUP(W118,'[1]POS_EAD_0112 a 3101_CAMP. REG)'!$F$231:$Q$461,12,FALSE)</f>
        <v>135.41</v>
      </c>
      <c r="AH118" s="121" t="s">
        <v>88</v>
      </c>
      <c r="AI118" s="69" t="s">
        <v>19</v>
      </c>
      <c r="AJ118" s="68" t="str">
        <f>VLOOKUP(UNG[[#This Row],[CURSO]],'[1]POS_EAD_0112 a 3101_CAMP. REG)'!$F$463:$G$688,2,FALSE)</f>
        <v>Saúde</v>
      </c>
      <c r="AK118" s="68">
        <f>VLOOKUP(UNG[[#This Row],[CURSO]],'[1]POS_EAD_0112 a 3101_CAMP. REG)'!$F$463:$H$688,3,FALSE)</f>
        <v>12</v>
      </c>
      <c r="AL118" s="68">
        <f>VLOOKUP(UNG[[#This Row],[CURSO]],'[1]POS_EAD_0112 a 3101_CAMP. REG)'!$F$463:$I$688,4,FALSE)</f>
        <v>19</v>
      </c>
      <c r="AM118" s="71">
        <f>VLOOKUP(UNG[[#This Row],[CURSO]],'[1]POS_EAD_0112 a 3101_CAMP. REG)'!$F$463:$J$688,5,FALSE)</f>
        <v>277.58266800000001</v>
      </c>
      <c r="AN118" s="124">
        <f>VLOOKUP(UNG[[#This Row],[CURSO]],'[1]POS_EAD_0112 a 3101_CAMP. REG)'!$F$463:$L$688,7,FALSE)</f>
        <v>0.45</v>
      </c>
      <c r="AO118" s="71">
        <f>VLOOKUP(UNG[[#This Row],[CURSO]],'[1]POS_EAD_0112 a 3101_CAMP. REG)'!$F$463:$M$688,8,FALSE)</f>
        <v>137.4</v>
      </c>
      <c r="AP118" s="124">
        <f>VLOOKUP(UNG[[#This Row],[CURSO]],'[1]POS_EAD_0112 a 3101_CAMP. REG)'!$F$463:$P$688,11,FALSE)</f>
        <v>0.5</v>
      </c>
      <c r="AQ118" s="71">
        <f>VLOOKUP(UNG[[#This Row],[CURSO]],'[1]POS_EAD_0112 a 3101_CAMP. REG)'!$F$463:$Q$688,12,FALSE)</f>
        <v>124.91</v>
      </c>
      <c r="AS118" s="121" t="s">
        <v>88</v>
      </c>
      <c r="AT118" s="69" t="s">
        <v>19</v>
      </c>
      <c r="AU118" s="69" t="str">
        <f>VLOOKUP(UNINASSAU[[#This Row],[CURSO]],'[1]POS_EAD_0112 a 3101_CAMP. REG)'!$F$690:$G$915,2,FALSE)</f>
        <v>Saúde</v>
      </c>
      <c r="AV118" s="69">
        <f>VLOOKUP(UNINASSAU[[#This Row],[CURSO]],'[1]POS_EAD_0112 a 3101_CAMP. REG)'!$F$690:$H$915,3,FALSE)</f>
        <v>12</v>
      </c>
      <c r="AW118" s="69">
        <f>VLOOKUP(UNINASSAU[[#This Row],[CURSO]],'[1]POS_EAD_0112 a 3101_CAMP. REG)'!$F$690:$I$915,4,FALSE)</f>
        <v>19</v>
      </c>
      <c r="AX118" s="73">
        <f>VLOOKUP(UNINASSAU[[#This Row],[CURSO]],'[1]POS_EAD_0112 a 3101_CAMP. REG)'!$F$690:$J$915,5,FALSE)</f>
        <v>277.58266800000001</v>
      </c>
      <c r="AY118" s="72">
        <f>VLOOKUP(UNINASSAU[[#This Row],[CURSO]],'[1]POS_EAD_0112 a 3101_CAMP. REG)'!$F$690:$L$915,7,FALSE)</f>
        <v>0.45</v>
      </c>
      <c r="AZ118" s="73">
        <f>VLOOKUP(UNINASSAU[[#This Row],[CURSO]],'[1]POS_EAD_0112 a 3101_CAMP. REG)'!$F$690:$N$915,8,FALSE)</f>
        <v>137.4</v>
      </c>
      <c r="BA118" s="72">
        <f>VLOOKUP(UNINASSAU[[#This Row],[CURSO]],'[1]POS_EAD_0112 a 3101_CAMP. REG)'!$F$690:$P$915,11,FALSE)</f>
        <v>0.5</v>
      </c>
      <c r="BB118" s="73">
        <f>VLOOKUP(UNINASSAU[[#This Row],[CURSO]],'[1]POS_EAD_0112 a 3101_CAMP. REG)'!$F$690:$Q$915,12,FALSE)</f>
        <v>124.91</v>
      </c>
      <c r="BD118" s="104">
        <v>115</v>
      </c>
      <c r="BE118" s="121" t="s">
        <v>88</v>
      </c>
      <c r="BF118" s="69" t="s">
        <v>19</v>
      </c>
    </row>
    <row r="119" spans="12:58" x14ac:dyDescent="0.25">
      <c r="L119" s="121" t="s">
        <v>104</v>
      </c>
      <c r="M119" s="69" t="s">
        <v>19</v>
      </c>
      <c r="N119" s="69" t="str">
        <f>VLOOKUP($L$4,'[1]POS_EAD_0112 a 3101_CAMP. REG)'!$F$5:$G$231,2,FALSE)</f>
        <v>Humanas</v>
      </c>
      <c r="O119" s="69">
        <f>VLOOKUP(L119,'[1]POS_EAD_0112 a 3101_CAMP. REG)'!$F$5:$H$231,3,FALSE)</f>
        <v>12</v>
      </c>
      <c r="P119" s="68">
        <f>VLOOKUP(L119,'[1]POS_EAD_0112 a 3101_CAMP. REG)'!$F$5:$I$231,4,FALSE)</f>
        <v>19</v>
      </c>
      <c r="Q119" s="73">
        <f>VLOOKUP(L119,'[1]POS_EAD_0112 a 3101_CAMP. REG)'!$F$5:$J$231,5,FALSE)</f>
        <v>184.28091221052631</v>
      </c>
      <c r="R119" s="124">
        <f>VLOOKUP(L119,'[1]POS_EAD_0112 a 3101_CAMP. REG)'!$F$5:$L$231,7,FALSE)</f>
        <v>0.45</v>
      </c>
      <c r="S119" s="73">
        <f>VLOOKUP(L119,'[1]POS_EAD_0112 a 3101_CAMP. REG)'!$F$5:$M$231,8,FALSE)</f>
        <v>91.22</v>
      </c>
      <c r="T119" s="124">
        <f>VLOOKUP(L119,'[1]POS_EAD_0112 a 3101_CAMP. REG)'!$F$5:$P$231,11,FALSE)</f>
        <v>0.5</v>
      </c>
      <c r="U119" s="73">
        <f>VLOOKUP(L119,'[1]POS_EAD_0112 a 3101_CAMP. REG)'!$F$5:$Q$231,12,FALSE)</f>
        <v>82.93</v>
      </c>
      <c r="W119" s="121" t="s">
        <v>104</v>
      </c>
      <c r="X119" s="69" t="s">
        <v>19</v>
      </c>
      <c r="Y119" s="69" t="str">
        <f>VLOOKUP(W119,'[1]POS_EAD_0112 a 3101_CAMP. REG)'!$F$231:$G$461,2,FALSE)</f>
        <v>Humanas</v>
      </c>
      <c r="Z119" s="68">
        <f>VLOOKUP(W119,'[1]POS_EAD_0112 a 3101_CAMP. REG)'!$F$231:$H$461,3,FALSE)</f>
        <v>12</v>
      </c>
      <c r="AA119" s="68">
        <f>VLOOKUP(W119,'[1]POS_EAD_0112 a 3101_CAMP. REG)'!$F$231:$I$461,4,FALSE)</f>
        <v>19</v>
      </c>
      <c r="AB119" s="73">
        <f>VLOOKUP(W119,'[1]POS_EAD_0112 a 3101_CAMP. REG)'!$F$231:$J$461,5,FALSE)</f>
        <v>207.609666</v>
      </c>
      <c r="AC119" s="72">
        <f>VLOOKUP(W119,'[1]POS_EAD_0112 a 3101_CAMP. REG)'!$F$231:$L$461,7,FALSE)</f>
        <v>0.45</v>
      </c>
      <c r="AD119" s="73">
        <f>VLOOKUP(W119,'[1]POS_EAD_0112 a 3101_CAMP. REG)'!$F$231:$M$461,8,FALSE)</f>
        <v>102.77</v>
      </c>
      <c r="AE119" s="72">
        <f>VLOOKUP(W119,'[1]POS_EAD_0112 a 3101_CAMP. REG)'!$F$231:$P$461,11,FALSE)</f>
        <v>0.5</v>
      </c>
      <c r="AF119" s="73">
        <f>VLOOKUP(W119,'[1]POS_EAD_0112 a 3101_CAMP. REG)'!$F$231:$Q$461,12,FALSE)</f>
        <v>93.42</v>
      </c>
      <c r="AH119" s="121" t="s">
        <v>104</v>
      </c>
      <c r="AI119" s="69" t="s">
        <v>19</v>
      </c>
      <c r="AJ119" s="68" t="str">
        <f>VLOOKUP(UNG[[#This Row],[CURSO]],'[1]POS_EAD_0112 a 3101_CAMP. REG)'!$F$463:$G$688,2,FALSE)</f>
        <v>Humanas</v>
      </c>
      <c r="AK119" s="68">
        <f>VLOOKUP(UNG[[#This Row],[CURSO]],'[1]POS_EAD_0112 a 3101_CAMP. REG)'!$F$463:$H$688,3,FALSE)</f>
        <v>12</v>
      </c>
      <c r="AL119" s="68">
        <f>VLOOKUP(UNG[[#This Row],[CURSO]],'[1]POS_EAD_0112 a 3101_CAMP. REG)'!$F$463:$I$688,4,FALSE)</f>
        <v>19</v>
      </c>
      <c r="AM119" s="71">
        <f>VLOOKUP(UNG[[#This Row],[CURSO]],'[1]POS_EAD_0112 a 3101_CAMP. REG)'!$F$463:$J$688,5,FALSE)</f>
        <v>184.28091221052631</v>
      </c>
      <c r="AN119" s="124">
        <f>VLOOKUP(UNG[[#This Row],[CURSO]],'[1]POS_EAD_0112 a 3101_CAMP. REG)'!$F$463:$L$688,7,FALSE)</f>
        <v>0.45</v>
      </c>
      <c r="AO119" s="71">
        <f>VLOOKUP(UNG[[#This Row],[CURSO]],'[1]POS_EAD_0112 a 3101_CAMP. REG)'!$F$463:$M$688,8,FALSE)</f>
        <v>91.22</v>
      </c>
      <c r="AP119" s="124">
        <f>VLOOKUP(UNG[[#This Row],[CURSO]],'[1]POS_EAD_0112 a 3101_CAMP. REG)'!$F$463:$P$688,11,FALSE)</f>
        <v>0.5</v>
      </c>
      <c r="AQ119" s="71">
        <f>VLOOKUP(UNG[[#This Row],[CURSO]],'[1]POS_EAD_0112 a 3101_CAMP. REG)'!$F$463:$Q$688,12,FALSE)</f>
        <v>82.93</v>
      </c>
      <c r="AS119" s="121" t="s">
        <v>104</v>
      </c>
      <c r="AT119" s="69" t="s">
        <v>19</v>
      </c>
      <c r="AU119" s="69" t="str">
        <f>VLOOKUP(UNINASSAU[[#This Row],[CURSO]],'[1]POS_EAD_0112 a 3101_CAMP. REG)'!$F$690:$G$915,2,FALSE)</f>
        <v>Humanas</v>
      </c>
      <c r="AV119" s="69">
        <f>VLOOKUP(UNINASSAU[[#This Row],[CURSO]],'[1]POS_EAD_0112 a 3101_CAMP. REG)'!$F$690:$H$915,3,FALSE)</f>
        <v>12</v>
      </c>
      <c r="AW119" s="69">
        <f>VLOOKUP(UNINASSAU[[#This Row],[CURSO]],'[1]POS_EAD_0112 a 3101_CAMP. REG)'!$F$690:$I$915,4,FALSE)</f>
        <v>19</v>
      </c>
      <c r="AX119" s="73">
        <f>VLOOKUP(UNINASSAU[[#This Row],[CURSO]],'[1]POS_EAD_0112 a 3101_CAMP. REG)'!$F$690:$J$915,5,FALSE)</f>
        <v>184.28091221052631</v>
      </c>
      <c r="AY119" s="72">
        <f>VLOOKUP(UNINASSAU[[#This Row],[CURSO]],'[1]POS_EAD_0112 a 3101_CAMP. REG)'!$F$690:$L$915,7,FALSE)</f>
        <v>0.45</v>
      </c>
      <c r="AZ119" s="73">
        <f>VLOOKUP(UNINASSAU[[#This Row],[CURSO]],'[1]POS_EAD_0112 a 3101_CAMP. REG)'!$F$690:$N$915,8,FALSE)</f>
        <v>91.22</v>
      </c>
      <c r="BA119" s="72">
        <f>VLOOKUP(UNINASSAU[[#This Row],[CURSO]],'[1]POS_EAD_0112 a 3101_CAMP. REG)'!$F$690:$P$915,11,FALSE)</f>
        <v>0.5</v>
      </c>
      <c r="BB119" s="73">
        <f>VLOOKUP(UNINASSAU[[#This Row],[CURSO]],'[1]POS_EAD_0112 a 3101_CAMP. REG)'!$F$690:$Q$915,12,FALSE)</f>
        <v>82.93</v>
      </c>
      <c r="BD119" s="104">
        <v>116</v>
      </c>
      <c r="BE119" s="121" t="s">
        <v>104</v>
      </c>
      <c r="BF119" s="69" t="s">
        <v>19</v>
      </c>
    </row>
    <row r="120" spans="12:58" x14ac:dyDescent="0.25">
      <c r="L120" s="121" t="s">
        <v>100</v>
      </c>
      <c r="M120" s="69" t="s">
        <v>19</v>
      </c>
      <c r="N120" s="69" t="str">
        <f>VLOOKUP($L$4,'[1]POS_EAD_0112 a 3101_CAMP. REG)'!$F$5:$G$231,2,FALSE)</f>
        <v>Humanas</v>
      </c>
      <c r="O120" s="69">
        <f>VLOOKUP(L120,'[1]POS_EAD_0112 a 3101_CAMP. REG)'!$F$5:$H$231,3,FALSE)</f>
        <v>12</v>
      </c>
      <c r="P120" s="68">
        <f>VLOOKUP(L120,'[1]POS_EAD_0112 a 3101_CAMP. REG)'!$F$5:$I$231,4,FALSE)</f>
        <v>19</v>
      </c>
      <c r="Q120" s="73">
        <f>VLOOKUP(L120,'[1]POS_EAD_0112 a 3101_CAMP. REG)'!$F$5:$J$231,5,FALSE)</f>
        <v>277.58266800000001</v>
      </c>
      <c r="R120" s="124">
        <f>VLOOKUP(L120,'[1]POS_EAD_0112 a 3101_CAMP. REG)'!$F$5:$L$231,7,FALSE)</f>
        <v>0.45</v>
      </c>
      <c r="S120" s="73">
        <f>VLOOKUP(L120,'[1]POS_EAD_0112 a 3101_CAMP. REG)'!$F$5:$M$231,8,FALSE)</f>
        <v>137.4</v>
      </c>
      <c r="T120" s="124">
        <f>VLOOKUP(L120,'[1]POS_EAD_0112 a 3101_CAMP. REG)'!$F$5:$P$231,11,FALSE)</f>
        <v>0.5</v>
      </c>
      <c r="U120" s="73">
        <f>VLOOKUP(L120,'[1]POS_EAD_0112 a 3101_CAMP. REG)'!$F$5:$Q$231,12,FALSE)</f>
        <v>124.91</v>
      </c>
      <c r="W120" s="121" t="s">
        <v>100</v>
      </c>
      <c r="X120" s="69" t="s">
        <v>19</v>
      </c>
      <c r="Y120" s="69" t="str">
        <f>VLOOKUP(W120,'[1]POS_EAD_0112 a 3101_CAMP. REG)'!$F$231:$G$461,2,FALSE)</f>
        <v>Saúde</v>
      </c>
      <c r="Z120" s="68">
        <f>VLOOKUP(W120,'[1]POS_EAD_0112 a 3101_CAMP. REG)'!$F$231:$H$461,3,FALSE)</f>
        <v>12</v>
      </c>
      <c r="AA120" s="68">
        <f>VLOOKUP(W120,'[1]POS_EAD_0112 a 3101_CAMP. REG)'!$F$231:$I$461,4,FALSE)</f>
        <v>19</v>
      </c>
      <c r="AB120" s="73">
        <f>VLOOKUP(W120,'[1]POS_EAD_0112 a 3101_CAMP. REG)'!$F$231:$J$461,5,FALSE)</f>
        <v>300.91749900000002</v>
      </c>
      <c r="AC120" s="72">
        <f>VLOOKUP(W120,'[1]POS_EAD_0112 a 3101_CAMP. REG)'!$F$231:$L$461,7,FALSE)</f>
        <v>0.45</v>
      </c>
      <c r="AD120" s="73">
        <f>VLOOKUP(W120,'[1]POS_EAD_0112 a 3101_CAMP. REG)'!$F$231:$M$461,8,FALSE)</f>
        <v>148.94999999999999</v>
      </c>
      <c r="AE120" s="72">
        <f>VLOOKUP(W120,'[1]POS_EAD_0112 a 3101_CAMP. REG)'!$F$231:$P$461,11,FALSE)</f>
        <v>0.5</v>
      </c>
      <c r="AF120" s="73">
        <f>VLOOKUP(W120,'[1]POS_EAD_0112 a 3101_CAMP. REG)'!$F$231:$Q$461,12,FALSE)</f>
        <v>135.41</v>
      </c>
      <c r="AH120" s="121" t="s">
        <v>100</v>
      </c>
      <c r="AI120" s="69" t="s">
        <v>19</v>
      </c>
      <c r="AJ120" s="68" t="str">
        <f>VLOOKUP(UNG[[#This Row],[CURSO]],'[1]POS_EAD_0112 a 3101_CAMP. REG)'!$F$463:$G$688,2,FALSE)</f>
        <v>Saúde</v>
      </c>
      <c r="AK120" s="68">
        <f>VLOOKUP(UNG[[#This Row],[CURSO]],'[1]POS_EAD_0112 a 3101_CAMP. REG)'!$F$463:$H$688,3,FALSE)</f>
        <v>12</v>
      </c>
      <c r="AL120" s="68">
        <f>VLOOKUP(UNG[[#This Row],[CURSO]],'[1]POS_EAD_0112 a 3101_CAMP. REG)'!$F$463:$I$688,4,FALSE)</f>
        <v>19</v>
      </c>
      <c r="AM120" s="71">
        <f>VLOOKUP(UNG[[#This Row],[CURSO]],'[1]POS_EAD_0112 a 3101_CAMP. REG)'!$F$463:$J$688,5,FALSE)</f>
        <v>277.58266800000001</v>
      </c>
      <c r="AN120" s="124">
        <f>VLOOKUP(UNG[[#This Row],[CURSO]],'[1]POS_EAD_0112 a 3101_CAMP. REG)'!$F$463:$L$688,7,FALSE)</f>
        <v>0.45</v>
      </c>
      <c r="AO120" s="71">
        <f>VLOOKUP(UNG[[#This Row],[CURSO]],'[1]POS_EAD_0112 a 3101_CAMP. REG)'!$F$463:$M$688,8,FALSE)</f>
        <v>137.4</v>
      </c>
      <c r="AP120" s="124">
        <f>VLOOKUP(UNG[[#This Row],[CURSO]],'[1]POS_EAD_0112 a 3101_CAMP. REG)'!$F$463:$P$688,11,FALSE)</f>
        <v>0.5</v>
      </c>
      <c r="AQ120" s="71">
        <f>VLOOKUP(UNG[[#This Row],[CURSO]],'[1]POS_EAD_0112 a 3101_CAMP. REG)'!$F$463:$Q$688,12,FALSE)</f>
        <v>124.91</v>
      </c>
      <c r="AS120" s="121" t="s">
        <v>100</v>
      </c>
      <c r="AT120" s="69" t="s">
        <v>19</v>
      </c>
      <c r="AU120" s="69" t="str">
        <f>VLOOKUP(UNINASSAU[[#This Row],[CURSO]],'[1]POS_EAD_0112 a 3101_CAMP. REG)'!$F$690:$G$915,2,FALSE)</f>
        <v>Saúde</v>
      </c>
      <c r="AV120" s="69">
        <f>VLOOKUP(UNINASSAU[[#This Row],[CURSO]],'[1]POS_EAD_0112 a 3101_CAMP. REG)'!$F$690:$H$915,3,FALSE)</f>
        <v>12</v>
      </c>
      <c r="AW120" s="69">
        <f>VLOOKUP(UNINASSAU[[#This Row],[CURSO]],'[1]POS_EAD_0112 a 3101_CAMP. REG)'!$F$690:$I$915,4,FALSE)</f>
        <v>19</v>
      </c>
      <c r="AX120" s="73">
        <f>VLOOKUP(UNINASSAU[[#This Row],[CURSO]],'[1]POS_EAD_0112 a 3101_CAMP. REG)'!$F$690:$J$915,5,FALSE)</f>
        <v>277.58266800000001</v>
      </c>
      <c r="AY120" s="72">
        <f>VLOOKUP(UNINASSAU[[#This Row],[CURSO]],'[1]POS_EAD_0112 a 3101_CAMP. REG)'!$F$690:$L$915,7,FALSE)</f>
        <v>0.45</v>
      </c>
      <c r="AZ120" s="73">
        <f>VLOOKUP(UNINASSAU[[#This Row],[CURSO]],'[1]POS_EAD_0112 a 3101_CAMP. REG)'!$F$690:$N$915,8,FALSE)</f>
        <v>137.4</v>
      </c>
      <c r="BA120" s="72">
        <f>VLOOKUP(UNINASSAU[[#This Row],[CURSO]],'[1]POS_EAD_0112 a 3101_CAMP. REG)'!$F$690:$P$915,11,FALSE)</f>
        <v>0.5</v>
      </c>
      <c r="BB120" s="73">
        <f>VLOOKUP(UNINASSAU[[#This Row],[CURSO]],'[1]POS_EAD_0112 a 3101_CAMP. REG)'!$F$690:$Q$915,12,FALSE)</f>
        <v>124.91</v>
      </c>
      <c r="BD120" s="104">
        <v>117</v>
      </c>
      <c r="BE120" s="121" t="s">
        <v>100</v>
      </c>
      <c r="BF120" s="69" t="s">
        <v>19</v>
      </c>
    </row>
    <row r="121" spans="12:58" x14ac:dyDescent="0.25">
      <c r="L121" s="121" t="s">
        <v>106</v>
      </c>
      <c r="M121" s="69" t="s">
        <v>19</v>
      </c>
      <c r="N121" s="69" t="str">
        <f>VLOOKUP($L$4,'[1]POS_EAD_0112 a 3101_CAMP. REG)'!$F$5:$G$231,2,FALSE)</f>
        <v>Humanas</v>
      </c>
      <c r="O121" s="69">
        <f>VLOOKUP(L121,'[1]POS_EAD_0112 a 3101_CAMP. REG)'!$F$5:$H$231,3,FALSE)</f>
        <v>12</v>
      </c>
      <c r="P121" s="68">
        <f>VLOOKUP(L121,'[1]POS_EAD_0112 a 3101_CAMP. REG)'!$F$5:$I$231,4,FALSE)</f>
        <v>19</v>
      </c>
      <c r="Q121" s="73">
        <f>VLOOKUP(L121,'[1]POS_EAD_0112 a 3101_CAMP. REG)'!$F$5:$J$231,5,FALSE)</f>
        <v>277.58266800000001</v>
      </c>
      <c r="R121" s="124">
        <f>VLOOKUP(L121,'[1]POS_EAD_0112 a 3101_CAMP. REG)'!$F$5:$L$231,7,FALSE)</f>
        <v>0.45</v>
      </c>
      <c r="S121" s="73">
        <f>VLOOKUP(L121,'[1]POS_EAD_0112 a 3101_CAMP. REG)'!$F$5:$M$231,8,FALSE)</f>
        <v>137.4</v>
      </c>
      <c r="T121" s="124">
        <f>VLOOKUP(L121,'[1]POS_EAD_0112 a 3101_CAMP. REG)'!$F$5:$P$231,11,FALSE)</f>
        <v>0.5</v>
      </c>
      <c r="U121" s="73">
        <f>VLOOKUP(L121,'[1]POS_EAD_0112 a 3101_CAMP. REG)'!$F$5:$Q$231,12,FALSE)</f>
        <v>124.91</v>
      </c>
      <c r="W121" s="121" t="s">
        <v>106</v>
      </c>
      <c r="X121" s="69" t="s">
        <v>19</v>
      </c>
      <c r="Y121" s="69" t="str">
        <f>VLOOKUP(W121,'[1]POS_EAD_0112 a 3101_CAMP. REG)'!$F$231:$G$461,2,FALSE)</f>
        <v>Saúde</v>
      </c>
      <c r="Z121" s="68">
        <f>VLOOKUP(W121,'[1]POS_EAD_0112 a 3101_CAMP. REG)'!$F$231:$H$461,3,FALSE)</f>
        <v>12</v>
      </c>
      <c r="AA121" s="68">
        <f>VLOOKUP(W121,'[1]POS_EAD_0112 a 3101_CAMP. REG)'!$F$231:$I$461,4,FALSE)</f>
        <v>19</v>
      </c>
      <c r="AB121" s="73">
        <f>VLOOKUP(W121,'[1]POS_EAD_0112 a 3101_CAMP. REG)'!$F$231:$J$461,5,FALSE)</f>
        <v>300.91749900000002</v>
      </c>
      <c r="AC121" s="72">
        <f>VLOOKUP(W121,'[1]POS_EAD_0112 a 3101_CAMP. REG)'!$F$231:$L$461,7,FALSE)</f>
        <v>0.45</v>
      </c>
      <c r="AD121" s="73">
        <f>VLOOKUP(W121,'[1]POS_EAD_0112 a 3101_CAMP. REG)'!$F$231:$M$461,8,FALSE)</f>
        <v>148.94999999999999</v>
      </c>
      <c r="AE121" s="72">
        <f>VLOOKUP(W121,'[1]POS_EAD_0112 a 3101_CAMP. REG)'!$F$231:$P$461,11,FALSE)</f>
        <v>0.5</v>
      </c>
      <c r="AF121" s="73">
        <f>VLOOKUP(W121,'[1]POS_EAD_0112 a 3101_CAMP. REG)'!$F$231:$Q$461,12,FALSE)</f>
        <v>135.41</v>
      </c>
      <c r="AH121" s="121" t="s">
        <v>106</v>
      </c>
      <c r="AI121" s="69" t="s">
        <v>19</v>
      </c>
      <c r="AJ121" s="68" t="str">
        <f>VLOOKUP(UNG[[#This Row],[CURSO]],'[1]POS_EAD_0112 a 3101_CAMP. REG)'!$F$463:$G$688,2,FALSE)</f>
        <v>Saúde</v>
      </c>
      <c r="AK121" s="68">
        <f>VLOOKUP(UNG[[#This Row],[CURSO]],'[1]POS_EAD_0112 a 3101_CAMP. REG)'!$F$463:$H$688,3,FALSE)</f>
        <v>12</v>
      </c>
      <c r="AL121" s="68">
        <f>VLOOKUP(UNG[[#This Row],[CURSO]],'[1]POS_EAD_0112 a 3101_CAMP. REG)'!$F$463:$I$688,4,FALSE)</f>
        <v>19</v>
      </c>
      <c r="AM121" s="71">
        <f>VLOOKUP(UNG[[#This Row],[CURSO]],'[1]POS_EAD_0112 a 3101_CAMP. REG)'!$F$463:$J$688,5,FALSE)</f>
        <v>277.58266800000001</v>
      </c>
      <c r="AN121" s="124">
        <f>VLOOKUP(UNG[[#This Row],[CURSO]],'[1]POS_EAD_0112 a 3101_CAMP. REG)'!$F$463:$L$688,7,FALSE)</f>
        <v>0.45</v>
      </c>
      <c r="AO121" s="71">
        <f>VLOOKUP(UNG[[#This Row],[CURSO]],'[1]POS_EAD_0112 a 3101_CAMP. REG)'!$F$463:$M$688,8,FALSE)</f>
        <v>137.4</v>
      </c>
      <c r="AP121" s="124">
        <f>VLOOKUP(UNG[[#This Row],[CURSO]],'[1]POS_EAD_0112 a 3101_CAMP. REG)'!$F$463:$P$688,11,FALSE)</f>
        <v>0.5</v>
      </c>
      <c r="AQ121" s="71">
        <f>VLOOKUP(UNG[[#This Row],[CURSO]],'[1]POS_EAD_0112 a 3101_CAMP. REG)'!$F$463:$Q$688,12,FALSE)</f>
        <v>124.91</v>
      </c>
      <c r="AS121" s="121" t="s">
        <v>106</v>
      </c>
      <c r="AT121" s="69" t="s">
        <v>19</v>
      </c>
      <c r="AU121" s="69" t="str">
        <f>VLOOKUP(UNINASSAU[[#This Row],[CURSO]],'[1]POS_EAD_0112 a 3101_CAMP. REG)'!$F$690:$G$915,2,FALSE)</f>
        <v>Saúde</v>
      </c>
      <c r="AV121" s="69">
        <f>VLOOKUP(UNINASSAU[[#This Row],[CURSO]],'[1]POS_EAD_0112 a 3101_CAMP. REG)'!$F$690:$H$915,3,FALSE)</f>
        <v>12</v>
      </c>
      <c r="AW121" s="69">
        <f>VLOOKUP(UNINASSAU[[#This Row],[CURSO]],'[1]POS_EAD_0112 a 3101_CAMP. REG)'!$F$690:$I$915,4,FALSE)</f>
        <v>19</v>
      </c>
      <c r="AX121" s="73">
        <f>VLOOKUP(UNINASSAU[[#This Row],[CURSO]],'[1]POS_EAD_0112 a 3101_CAMP. REG)'!$F$690:$J$915,5,FALSE)</f>
        <v>277.58266800000001</v>
      </c>
      <c r="AY121" s="72">
        <f>VLOOKUP(UNINASSAU[[#This Row],[CURSO]],'[1]POS_EAD_0112 a 3101_CAMP. REG)'!$F$690:$L$915,7,FALSE)</f>
        <v>0.45</v>
      </c>
      <c r="AZ121" s="73">
        <f>VLOOKUP(UNINASSAU[[#This Row],[CURSO]],'[1]POS_EAD_0112 a 3101_CAMP. REG)'!$F$690:$N$915,8,FALSE)</f>
        <v>137.4</v>
      </c>
      <c r="BA121" s="72">
        <f>VLOOKUP(UNINASSAU[[#This Row],[CURSO]],'[1]POS_EAD_0112 a 3101_CAMP. REG)'!$F$690:$P$915,11,FALSE)</f>
        <v>0.5</v>
      </c>
      <c r="BB121" s="73">
        <f>VLOOKUP(UNINASSAU[[#This Row],[CURSO]],'[1]POS_EAD_0112 a 3101_CAMP. REG)'!$F$690:$Q$915,12,FALSE)</f>
        <v>124.91</v>
      </c>
      <c r="BD121" s="104">
        <v>118</v>
      </c>
      <c r="BE121" s="121" t="s">
        <v>106</v>
      </c>
      <c r="BF121" s="69" t="s">
        <v>19</v>
      </c>
    </row>
    <row r="122" spans="12:58" x14ac:dyDescent="0.25">
      <c r="L122" s="121" t="s">
        <v>148</v>
      </c>
      <c r="M122" s="69" t="s">
        <v>19</v>
      </c>
      <c r="N122" s="69" t="str">
        <f>VLOOKUP($L$4,'[1]POS_EAD_0112 a 3101_CAMP. REG)'!$F$5:$G$231,2,FALSE)</f>
        <v>Humanas</v>
      </c>
      <c r="O122" s="69">
        <f>VLOOKUP(L122,'[1]POS_EAD_0112 a 3101_CAMP. REG)'!$F$5:$H$231,3,FALSE)</f>
        <v>12</v>
      </c>
      <c r="P122" s="68">
        <f>VLOOKUP(L122,'[1]POS_EAD_0112 a 3101_CAMP. REG)'!$F$5:$I$231,4,FALSE)</f>
        <v>19</v>
      </c>
      <c r="Q122" s="73">
        <f>VLOOKUP(L122,'[1]POS_EAD_0112 a 3101_CAMP. REG)'!$F$5:$J$231,5,FALSE)</f>
        <v>184.28091221052631</v>
      </c>
      <c r="R122" s="124">
        <f>VLOOKUP(L122,'[1]POS_EAD_0112 a 3101_CAMP. REG)'!$F$5:$L$231,7,FALSE)</f>
        <v>0.45</v>
      </c>
      <c r="S122" s="73">
        <f>VLOOKUP(L122,'[1]POS_EAD_0112 a 3101_CAMP. REG)'!$F$5:$M$231,8,FALSE)</f>
        <v>91.22</v>
      </c>
      <c r="T122" s="124">
        <f>VLOOKUP(L122,'[1]POS_EAD_0112 a 3101_CAMP. REG)'!$F$5:$P$231,11,FALSE)</f>
        <v>0.5</v>
      </c>
      <c r="U122" s="73">
        <f>VLOOKUP(L122,'[1]POS_EAD_0112 a 3101_CAMP. REG)'!$F$5:$Q$231,12,FALSE)</f>
        <v>82.93</v>
      </c>
      <c r="W122" s="121" t="s">
        <v>148</v>
      </c>
      <c r="X122" s="69" t="s">
        <v>19</v>
      </c>
      <c r="Y122" s="69" t="str">
        <f>VLOOKUP(W122,'[1]POS_EAD_0112 a 3101_CAMP. REG)'!$F$231:$G$461,2,FALSE)</f>
        <v>Humanas</v>
      </c>
      <c r="Z122" s="68">
        <f>VLOOKUP(W122,'[1]POS_EAD_0112 a 3101_CAMP. REG)'!$F$231:$H$461,3,FALSE)</f>
        <v>12</v>
      </c>
      <c r="AA122" s="68">
        <f>VLOOKUP(W122,'[1]POS_EAD_0112 a 3101_CAMP. REG)'!$F$231:$I$461,4,FALSE)</f>
        <v>19</v>
      </c>
      <c r="AB122" s="73">
        <f>VLOOKUP(W122,'[1]POS_EAD_0112 a 3101_CAMP. REG)'!$F$231:$J$461,5,FALSE)</f>
        <v>207.609666</v>
      </c>
      <c r="AC122" s="72">
        <f>VLOOKUP(W122,'[1]POS_EAD_0112 a 3101_CAMP. REG)'!$F$231:$L$461,7,FALSE)</f>
        <v>0.45</v>
      </c>
      <c r="AD122" s="73">
        <f>VLOOKUP(W122,'[1]POS_EAD_0112 a 3101_CAMP. REG)'!$F$231:$M$461,8,FALSE)</f>
        <v>102.77</v>
      </c>
      <c r="AE122" s="72">
        <f>VLOOKUP(W122,'[1]POS_EAD_0112 a 3101_CAMP. REG)'!$F$231:$P$461,11,FALSE)</f>
        <v>0.5</v>
      </c>
      <c r="AF122" s="73">
        <f>VLOOKUP(W122,'[1]POS_EAD_0112 a 3101_CAMP. REG)'!$F$231:$Q$461,12,FALSE)</f>
        <v>93.42</v>
      </c>
      <c r="AH122" s="121" t="s">
        <v>148</v>
      </c>
      <c r="AI122" s="69" t="s">
        <v>19</v>
      </c>
      <c r="AJ122" s="68" t="str">
        <f>VLOOKUP(UNG[[#This Row],[CURSO]],'[1]POS_EAD_0112 a 3101_CAMP. REG)'!$F$463:$G$688,2,FALSE)</f>
        <v>Humanas</v>
      </c>
      <c r="AK122" s="68">
        <f>VLOOKUP(UNG[[#This Row],[CURSO]],'[1]POS_EAD_0112 a 3101_CAMP. REG)'!$F$463:$H$688,3,FALSE)</f>
        <v>12</v>
      </c>
      <c r="AL122" s="68">
        <f>VLOOKUP(UNG[[#This Row],[CURSO]],'[1]POS_EAD_0112 a 3101_CAMP. REG)'!$F$463:$I$688,4,FALSE)</f>
        <v>19</v>
      </c>
      <c r="AM122" s="71">
        <f>VLOOKUP(UNG[[#This Row],[CURSO]],'[1]POS_EAD_0112 a 3101_CAMP. REG)'!$F$463:$J$688,5,FALSE)</f>
        <v>184.28091221052631</v>
      </c>
      <c r="AN122" s="124">
        <f>VLOOKUP(UNG[[#This Row],[CURSO]],'[1]POS_EAD_0112 a 3101_CAMP. REG)'!$F$463:$L$688,7,FALSE)</f>
        <v>0.45</v>
      </c>
      <c r="AO122" s="71">
        <f>VLOOKUP(UNG[[#This Row],[CURSO]],'[1]POS_EAD_0112 a 3101_CAMP. REG)'!$F$463:$M$688,8,FALSE)</f>
        <v>91.22</v>
      </c>
      <c r="AP122" s="124">
        <f>VLOOKUP(UNG[[#This Row],[CURSO]],'[1]POS_EAD_0112 a 3101_CAMP. REG)'!$F$463:$P$688,11,FALSE)</f>
        <v>0.5</v>
      </c>
      <c r="AQ122" s="71">
        <f>VLOOKUP(UNG[[#This Row],[CURSO]],'[1]POS_EAD_0112 a 3101_CAMP. REG)'!$F$463:$Q$688,12,FALSE)</f>
        <v>82.93</v>
      </c>
      <c r="AS122" s="121" t="s">
        <v>148</v>
      </c>
      <c r="AT122" s="69" t="s">
        <v>19</v>
      </c>
      <c r="AU122" s="69" t="str">
        <f>VLOOKUP(UNINASSAU[[#This Row],[CURSO]],'[1]POS_EAD_0112 a 3101_CAMP. REG)'!$F$690:$G$915,2,FALSE)</f>
        <v>Humanas</v>
      </c>
      <c r="AV122" s="69">
        <f>VLOOKUP(UNINASSAU[[#This Row],[CURSO]],'[1]POS_EAD_0112 a 3101_CAMP. REG)'!$F$690:$H$915,3,FALSE)</f>
        <v>12</v>
      </c>
      <c r="AW122" s="69">
        <f>VLOOKUP(UNINASSAU[[#This Row],[CURSO]],'[1]POS_EAD_0112 a 3101_CAMP. REG)'!$F$690:$I$915,4,FALSE)</f>
        <v>19</v>
      </c>
      <c r="AX122" s="73">
        <f>VLOOKUP(UNINASSAU[[#This Row],[CURSO]],'[1]POS_EAD_0112 a 3101_CAMP. REG)'!$F$690:$J$915,5,FALSE)</f>
        <v>184.28091221052631</v>
      </c>
      <c r="AY122" s="72">
        <f>VLOOKUP(UNINASSAU[[#This Row],[CURSO]],'[1]POS_EAD_0112 a 3101_CAMP. REG)'!$F$690:$L$915,7,FALSE)</f>
        <v>0.45</v>
      </c>
      <c r="AZ122" s="73">
        <f>VLOOKUP(UNINASSAU[[#This Row],[CURSO]],'[1]POS_EAD_0112 a 3101_CAMP. REG)'!$F$690:$N$915,8,FALSE)</f>
        <v>91.22</v>
      </c>
      <c r="BA122" s="72">
        <f>VLOOKUP(UNINASSAU[[#This Row],[CURSO]],'[1]POS_EAD_0112 a 3101_CAMP. REG)'!$F$690:$P$915,11,FALSE)</f>
        <v>0.5</v>
      </c>
      <c r="BB122" s="73">
        <f>VLOOKUP(UNINASSAU[[#This Row],[CURSO]],'[1]POS_EAD_0112 a 3101_CAMP. REG)'!$F$690:$Q$915,12,FALSE)</f>
        <v>82.93</v>
      </c>
      <c r="BD122" s="104">
        <v>119</v>
      </c>
      <c r="BE122" s="121" t="s">
        <v>148</v>
      </c>
      <c r="BF122" s="69" t="s">
        <v>19</v>
      </c>
    </row>
    <row r="123" spans="12:58" x14ac:dyDescent="0.25">
      <c r="L123" s="121" t="s">
        <v>124</v>
      </c>
      <c r="M123" s="69" t="s">
        <v>19</v>
      </c>
      <c r="N123" s="69" t="str">
        <f>VLOOKUP($L$4,'[1]POS_EAD_0112 a 3101_CAMP. REG)'!$F$5:$G$231,2,FALSE)</f>
        <v>Humanas</v>
      </c>
      <c r="O123" s="69">
        <f>VLOOKUP(L123,'[1]POS_EAD_0112 a 3101_CAMP. REG)'!$F$5:$H$231,3,FALSE)</f>
        <v>6</v>
      </c>
      <c r="P123" s="68">
        <f>VLOOKUP(L123,'[1]POS_EAD_0112 a 3101_CAMP. REG)'!$F$5:$I$231,4,FALSE)</f>
        <v>13</v>
      </c>
      <c r="Q123" s="73">
        <f>VLOOKUP(L123,'[1]POS_EAD_0112 a 3101_CAMP. REG)'!$F$5:$J$231,5,FALSE)</f>
        <v>269.33202599999998</v>
      </c>
      <c r="R123" s="124">
        <f>VLOOKUP(L123,'[1]POS_EAD_0112 a 3101_CAMP. REG)'!$F$5:$L$231,7,FALSE)</f>
        <v>0.45</v>
      </c>
      <c r="S123" s="73">
        <f>VLOOKUP(L123,'[1]POS_EAD_0112 a 3101_CAMP. REG)'!$F$5:$M$231,8,FALSE)</f>
        <v>133.32</v>
      </c>
      <c r="T123" s="124">
        <f>VLOOKUP(L123,'[1]POS_EAD_0112 a 3101_CAMP. REG)'!$F$5:$P$231,11,FALSE)</f>
        <v>0.5</v>
      </c>
      <c r="U123" s="73">
        <f>VLOOKUP(L123,'[1]POS_EAD_0112 a 3101_CAMP. REG)'!$F$5:$Q$231,12,FALSE)</f>
        <v>121.2</v>
      </c>
      <c r="W123" s="121" t="s">
        <v>124</v>
      </c>
      <c r="X123" s="69" t="s">
        <v>19</v>
      </c>
      <c r="Y123" s="69" t="str">
        <f>VLOOKUP(W123,'[1]POS_EAD_0112 a 3101_CAMP. REG)'!$F$231:$G$461,2,FALSE)</f>
        <v>Humanas</v>
      </c>
      <c r="Z123" s="68">
        <f>VLOOKUP(W123,'[1]POS_EAD_0112 a 3101_CAMP. REG)'!$F$231:$H$461,3,FALSE)</f>
        <v>6</v>
      </c>
      <c r="AA123" s="68">
        <f>VLOOKUP(W123,'[1]POS_EAD_0112 a 3101_CAMP. REG)'!$F$231:$I$461,4,FALSE)</f>
        <v>13</v>
      </c>
      <c r="AB123" s="73">
        <f>VLOOKUP(W123,'[1]POS_EAD_0112 a 3101_CAMP. REG)'!$F$231:$J$461,5,FALSE)</f>
        <v>303.42628200000001</v>
      </c>
      <c r="AC123" s="72">
        <f>VLOOKUP(W123,'[1]POS_EAD_0112 a 3101_CAMP. REG)'!$F$231:$L$461,7,FALSE)</f>
        <v>0.45</v>
      </c>
      <c r="AD123" s="73">
        <f>VLOOKUP(W123,'[1]POS_EAD_0112 a 3101_CAMP. REG)'!$F$231:$M$461,8,FALSE)</f>
        <v>150.19999999999999</v>
      </c>
      <c r="AE123" s="72">
        <f>VLOOKUP(W123,'[1]POS_EAD_0112 a 3101_CAMP. REG)'!$F$231:$P$461,11,FALSE)</f>
        <v>0.5</v>
      </c>
      <c r="AF123" s="73">
        <f>VLOOKUP(W123,'[1]POS_EAD_0112 a 3101_CAMP. REG)'!$F$231:$Q$461,12,FALSE)</f>
        <v>136.54</v>
      </c>
      <c r="AH123" s="121" t="s">
        <v>124</v>
      </c>
      <c r="AI123" s="69" t="s">
        <v>19</v>
      </c>
      <c r="AJ123" s="68" t="str">
        <f>VLOOKUP(UNG[[#This Row],[CURSO]],'[1]POS_EAD_0112 a 3101_CAMP. REG)'!$F$463:$G$688,2,FALSE)</f>
        <v>Humanas</v>
      </c>
      <c r="AK123" s="68">
        <f>VLOOKUP(UNG[[#This Row],[CURSO]],'[1]POS_EAD_0112 a 3101_CAMP. REG)'!$F$463:$H$688,3,FALSE)</f>
        <v>6</v>
      </c>
      <c r="AL123" s="68">
        <f>VLOOKUP(UNG[[#This Row],[CURSO]],'[1]POS_EAD_0112 a 3101_CAMP. REG)'!$F$463:$I$688,4,FALSE)</f>
        <v>13</v>
      </c>
      <c r="AM123" s="71">
        <f>VLOOKUP(UNG[[#This Row],[CURSO]],'[1]POS_EAD_0112 a 3101_CAMP. REG)'!$F$463:$J$688,5,FALSE)</f>
        <v>269.33202599999998</v>
      </c>
      <c r="AN123" s="124">
        <f>VLOOKUP(UNG[[#This Row],[CURSO]],'[1]POS_EAD_0112 a 3101_CAMP. REG)'!$F$463:$L$688,7,FALSE)</f>
        <v>0.45</v>
      </c>
      <c r="AO123" s="71">
        <f>VLOOKUP(UNG[[#This Row],[CURSO]],'[1]POS_EAD_0112 a 3101_CAMP. REG)'!$F$463:$M$688,8,FALSE)</f>
        <v>133.32</v>
      </c>
      <c r="AP123" s="124">
        <f>VLOOKUP(UNG[[#This Row],[CURSO]],'[1]POS_EAD_0112 a 3101_CAMP. REG)'!$F$463:$P$688,11,FALSE)</f>
        <v>0.5</v>
      </c>
      <c r="AQ123" s="71">
        <f>VLOOKUP(UNG[[#This Row],[CURSO]],'[1]POS_EAD_0112 a 3101_CAMP. REG)'!$F$463:$Q$688,12,FALSE)</f>
        <v>121.2</v>
      </c>
      <c r="AS123" s="121" t="s">
        <v>124</v>
      </c>
      <c r="AT123" s="69" t="s">
        <v>19</v>
      </c>
      <c r="AU123" s="69" t="str">
        <f>VLOOKUP(UNINASSAU[[#This Row],[CURSO]],'[1]POS_EAD_0112 a 3101_CAMP. REG)'!$F$690:$G$915,2,FALSE)</f>
        <v>Humanas</v>
      </c>
      <c r="AV123" s="69">
        <f>VLOOKUP(UNINASSAU[[#This Row],[CURSO]],'[1]POS_EAD_0112 a 3101_CAMP. REG)'!$F$690:$H$915,3,FALSE)</f>
        <v>6</v>
      </c>
      <c r="AW123" s="69">
        <f>VLOOKUP(UNINASSAU[[#This Row],[CURSO]],'[1]POS_EAD_0112 a 3101_CAMP. REG)'!$F$690:$I$915,4,FALSE)</f>
        <v>13</v>
      </c>
      <c r="AX123" s="73">
        <f>VLOOKUP(UNINASSAU[[#This Row],[CURSO]],'[1]POS_EAD_0112 a 3101_CAMP. REG)'!$F$690:$J$915,5,FALSE)</f>
        <v>269.33202599999998</v>
      </c>
      <c r="AY123" s="72">
        <f>VLOOKUP(UNINASSAU[[#This Row],[CURSO]],'[1]POS_EAD_0112 a 3101_CAMP. REG)'!$F$690:$L$915,7,FALSE)</f>
        <v>0.45</v>
      </c>
      <c r="AZ123" s="73">
        <f>VLOOKUP(UNINASSAU[[#This Row],[CURSO]],'[1]POS_EAD_0112 a 3101_CAMP. REG)'!$F$690:$N$915,8,FALSE)</f>
        <v>133.32</v>
      </c>
      <c r="BA123" s="72">
        <f>VLOOKUP(UNINASSAU[[#This Row],[CURSO]],'[1]POS_EAD_0112 a 3101_CAMP. REG)'!$F$690:$P$915,11,FALSE)</f>
        <v>0.5</v>
      </c>
      <c r="BB123" s="73">
        <f>VLOOKUP(UNINASSAU[[#This Row],[CURSO]],'[1]POS_EAD_0112 a 3101_CAMP. REG)'!$F$690:$Q$915,12,FALSE)</f>
        <v>121.2</v>
      </c>
      <c r="BD123" s="104">
        <v>120</v>
      </c>
      <c r="BE123" s="121" t="s">
        <v>124</v>
      </c>
      <c r="BF123" s="69" t="s">
        <v>19</v>
      </c>
    </row>
    <row r="124" spans="12:58" x14ac:dyDescent="0.25">
      <c r="L124" s="121" t="s">
        <v>82</v>
      </c>
      <c r="M124" s="69" t="s">
        <v>19</v>
      </c>
      <c r="N124" s="69" t="str">
        <f>VLOOKUP($L$4,'[1]POS_EAD_0112 a 3101_CAMP. REG)'!$F$5:$G$231,2,FALSE)</f>
        <v>Humanas</v>
      </c>
      <c r="O124" s="69">
        <f>VLOOKUP(L124,'[1]POS_EAD_0112 a 3101_CAMP. REG)'!$F$5:$H$231,3,FALSE)</f>
        <v>6</v>
      </c>
      <c r="P124" s="68">
        <f>VLOOKUP(L124,'[1]POS_EAD_0112 a 3101_CAMP. REG)'!$F$5:$I$231,4,FALSE)</f>
        <v>13</v>
      </c>
      <c r="Q124" s="73">
        <f>VLOOKUP(L124,'[1]POS_EAD_0112 a 3101_CAMP. REG)'!$F$5:$J$231,5,FALSE)</f>
        <v>269.33202599999998</v>
      </c>
      <c r="R124" s="124">
        <f>VLOOKUP(L124,'[1]POS_EAD_0112 a 3101_CAMP. REG)'!$F$5:$L$231,7,FALSE)</f>
        <v>0.45</v>
      </c>
      <c r="S124" s="73">
        <f>VLOOKUP(L124,'[1]POS_EAD_0112 a 3101_CAMP. REG)'!$F$5:$M$231,8,FALSE)</f>
        <v>133.32</v>
      </c>
      <c r="T124" s="124">
        <f>VLOOKUP(L124,'[1]POS_EAD_0112 a 3101_CAMP. REG)'!$F$5:$P$231,11,FALSE)</f>
        <v>0.5</v>
      </c>
      <c r="U124" s="73">
        <f>VLOOKUP(L124,'[1]POS_EAD_0112 a 3101_CAMP. REG)'!$F$5:$Q$231,12,FALSE)</f>
        <v>121.2</v>
      </c>
      <c r="W124" s="121" t="s">
        <v>82</v>
      </c>
      <c r="X124" s="69" t="s">
        <v>19</v>
      </c>
      <c r="Y124" s="69" t="str">
        <f>VLOOKUP(W124,'[1]POS_EAD_0112 a 3101_CAMP. REG)'!$F$231:$G$461,2,FALSE)</f>
        <v>Humanas</v>
      </c>
      <c r="Z124" s="68">
        <f>VLOOKUP(W124,'[1]POS_EAD_0112 a 3101_CAMP. REG)'!$F$231:$H$461,3,FALSE)</f>
        <v>6</v>
      </c>
      <c r="AA124" s="68">
        <f>VLOOKUP(W124,'[1]POS_EAD_0112 a 3101_CAMP. REG)'!$F$231:$I$461,4,FALSE)</f>
        <v>13</v>
      </c>
      <c r="AB124" s="73">
        <f>VLOOKUP(W124,'[1]POS_EAD_0112 a 3101_CAMP. REG)'!$F$231:$J$461,5,FALSE)</f>
        <v>303.42628200000001</v>
      </c>
      <c r="AC124" s="72">
        <f>VLOOKUP(W124,'[1]POS_EAD_0112 a 3101_CAMP. REG)'!$F$231:$L$461,7,FALSE)</f>
        <v>0.45</v>
      </c>
      <c r="AD124" s="73">
        <f>VLOOKUP(W124,'[1]POS_EAD_0112 a 3101_CAMP. REG)'!$F$231:$M$461,8,FALSE)</f>
        <v>150.19999999999999</v>
      </c>
      <c r="AE124" s="72">
        <f>VLOOKUP(W124,'[1]POS_EAD_0112 a 3101_CAMP. REG)'!$F$231:$P$461,11,FALSE)</f>
        <v>0.5</v>
      </c>
      <c r="AF124" s="73">
        <f>VLOOKUP(W124,'[1]POS_EAD_0112 a 3101_CAMP. REG)'!$F$231:$Q$461,12,FALSE)</f>
        <v>136.54</v>
      </c>
      <c r="AH124" s="121" t="s">
        <v>82</v>
      </c>
      <c r="AI124" s="69" t="s">
        <v>19</v>
      </c>
      <c r="AJ124" s="68" t="str">
        <f>VLOOKUP(UNG[[#This Row],[CURSO]],'[1]POS_EAD_0112 a 3101_CAMP. REG)'!$F$463:$G$688,2,FALSE)</f>
        <v>Humanas</v>
      </c>
      <c r="AK124" s="68">
        <f>VLOOKUP(UNG[[#This Row],[CURSO]],'[1]POS_EAD_0112 a 3101_CAMP. REG)'!$F$463:$H$688,3,FALSE)</f>
        <v>6</v>
      </c>
      <c r="AL124" s="68">
        <f>VLOOKUP(UNG[[#This Row],[CURSO]],'[1]POS_EAD_0112 a 3101_CAMP. REG)'!$F$463:$I$688,4,FALSE)</f>
        <v>13</v>
      </c>
      <c r="AM124" s="71">
        <f>VLOOKUP(UNG[[#This Row],[CURSO]],'[1]POS_EAD_0112 a 3101_CAMP. REG)'!$F$463:$J$688,5,FALSE)</f>
        <v>269.33202599999998</v>
      </c>
      <c r="AN124" s="124">
        <f>VLOOKUP(UNG[[#This Row],[CURSO]],'[1]POS_EAD_0112 a 3101_CAMP. REG)'!$F$463:$L$688,7,FALSE)</f>
        <v>0.45</v>
      </c>
      <c r="AO124" s="71">
        <f>VLOOKUP(UNG[[#This Row],[CURSO]],'[1]POS_EAD_0112 a 3101_CAMP. REG)'!$F$463:$M$688,8,FALSE)</f>
        <v>133.32</v>
      </c>
      <c r="AP124" s="124">
        <f>VLOOKUP(UNG[[#This Row],[CURSO]],'[1]POS_EAD_0112 a 3101_CAMP. REG)'!$F$463:$P$688,11,FALSE)</f>
        <v>0.5</v>
      </c>
      <c r="AQ124" s="71">
        <f>VLOOKUP(UNG[[#This Row],[CURSO]],'[1]POS_EAD_0112 a 3101_CAMP. REG)'!$F$463:$Q$688,12,FALSE)</f>
        <v>121.2</v>
      </c>
      <c r="AS124" s="121" t="s">
        <v>82</v>
      </c>
      <c r="AT124" s="69" t="s">
        <v>19</v>
      </c>
      <c r="AU124" s="69" t="str">
        <f>VLOOKUP(UNINASSAU[[#This Row],[CURSO]],'[1]POS_EAD_0112 a 3101_CAMP. REG)'!$F$690:$G$915,2,FALSE)</f>
        <v>Humanas</v>
      </c>
      <c r="AV124" s="69">
        <f>VLOOKUP(UNINASSAU[[#This Row],[CURSO]],'[1]POS_EAD_0112 a 3101_CAMP. REG)'!$F$690:$H$915,3,FALSE)</f>
        <v>6</v>
      </c>
      <c r="AW124" s="69">
        <f>VLOOKUP(UNINASSAU[[#This Row],[CURSO]],'[1]POS_EAD_0112 a 3101_CAMP. REG)'!$F$690:$I$915,4,FALSE)</f>
        <v>13</v>
      </c>
      <c r="AX124" s="73">
        <f>VLOOKUP(UNINASSAU[[#This Row],[CURSO]],'[1]POS_EAD_0112 a 3101_CAMP. REG)'!$F$690:$J$915,5,FALSE)</f>
        <v>269.33202599999998</v>
      </c>
      <c r="AY124" s="72">
        <f>VLOOKUP(UNINASSAU[[#This Row],[CURSO]],'[1]POS_EAD_0112 a 3101_CAMP. REG)'!$F$690:$L$915,7,FALSE)</f>
        <v>0.45</v>
      </c>
      <c r="AZ124" s="73">
        <f>VLOOKUP(UNINASSAU[[#This Row],[CURSO]],'[1]POS_EAD_0112 a 3101_CAMP. REG)'!$F$690:$N$915,8,FALSE)</f>
        <v>133.32</v>
      </c>
      <c r="BA124" s="72">
        <f>VLOOKUP(UNINASSAU[[#This Row],[CURSO]],'[1]POS_EAD_0112 a 3101_CAMP. REG)'!$F$690:$P$915,11,FALSE)</f>
        <v>0.5</v>
      </c>
      <c r="BB124" s="73">
        <f>VLOOKUP(UNINASSAU[[#This Row],[CURSO]],'[1]POS_EAD_0112 a 3101_CAMP. REG)'!$F$690:$Q$915,12,FALSE)</f>
        <v>121.2</v>
      </c>
      <c r="BD124" s="104">
        <v>121</v>
      </c>
      <c r="BE124" s="121" t="s">
        <v>82</v>
      </c>
      <c r="BF124" s="69" t="s">
        <v>19</v>
      </c>
    </row>
    <row r="125" spans="12:58" x14ac:dyDescent="0.25">
      <c r="L125" s="121" t="s">
        <v>78</v>
      </c>
      <c r="M125" s="69" t="s">
        <v>19</v>
      </c>
      <c r="N125" s="69" t="str">
        <f>VLOOKUP($L$4,'[1]POS_EAD_0112 a 3101_CAMP. REG)'!$F$5:$G$231,2,FALSE)</f>
        <v>Humanas</v>
      </c>
      <c r="O125" s="69">
        <f>VLOOKUP(L125,'[1]POS_EAD_0112 a 3101_CAMP. REG)'!$F$5:$H$231,3,FALSE)</f>
        <v>12</v>
      </c>
      <c r="P125" s="68">
        <f>VLOOKUP(L125,'[1]POS_EAD_0112 a 3101_CAMP. REG)'!$F$5:$I$231,4,FALSE)</f>
        <v>19</v>
      </c>
      <c r="Q125" s="73">
        <f>VLOOKUP(L125,'[1]POS_EAD_0112 a 3101_CAMP. REG)'!$F$5:$J$231,5,FALSE)</f>
        <v>184.28091221052631</v>
      </c>
      <c r="R125" s="124">
        <f>VLOOKUP(L125,'[1]POS_EAD_0112 a 3101_CAMP. REG)'!$F$5:$L$231,7,FALSE)</f>
        <v>0.45</v>
      </c>
      <c r="S125" s="73">
        <f>VLOOKUP(L125,'[1]POS_EAD_0112 a 3101_CAMP. REG)'!$F$5:$M$231,8,FALSE)</f>
        <v>91.22</v>
      </c>
      <c r="T125" s="124">
        <f>VLOOKUP(L125,'[1]POS_EAD_0112 a 3101_CAMP. REG)'!$F$5:$P$231,11,FALSE)</f>
        <v>0.5</v>
      </c>
      <c r="U125" s="73">
        <f>VLOOKUP(L125,'[1]POS_EAD_0112 a 3101_CAMP. REG)'!$F$5:$Q$231,12,FALSE)</f>
        <v>82.93</v>
      </c>
      <c r="W125" s="121" t="s">
        <v>78</v>
      </c>
      <c r="X125" s="69" t="s">
        <v>19</v>
      </c>
      <c r="Y125" s="69" t="str">
        <f>VLOOKUP(W125,'[1]POS_EAD_0112 a 3101_CAMP. REG)'!$F$231:$G$461,2,FALSE)</f>
        <v>Humanas</v>
      </c>
      <c r="Z125" s="68">
        <f>VLOOKUP(W125,'[1]POS_EAD_0112 a 3101_CAMP. REG)'!$F$231:$H$461,3,FALSE)</f>
        <v>12</v>
      </c>
      <c r="AA125" s="68">
        <f>VLOOKUP(W125,'[1]POS_EAD_0112 a 3101_CAMP. REG)'!$F$231:$I$461,4,FALSE)</f>
        <v>19</v>
      </c>
      <c r="AB125" s="73">
        <f>VLOOKUP(W125,'[1]POS_EAD_0112 a 3101_CAMP. REG)'!$F$231:$J$461,5,FALSE)</f>
        <v>207.609666</v>
      </c>
      <c r="AC125" s="72">
        <f>VLOOKUP(W125,'[1]POS_EAD_0112 a 3101_CAMP. REG)'!$F$231:$L$461,7,FALSE)</f>
        <v>0.45</v>
      </c>
      <c r="AD125" s="73">
        <f>VLOOKUP(W125,'[1]POS_EAD_0112 a 3101_CAMP. REG)'!$F$231:$M$461,8,FALSE)</f>
        <v>102.77</v>
      </c>
      <c r="AE125" s="72">
        <f>VLOOKUP(W125,'[1]POS_EAD_0112 a 3101_CAMP. REG)'!$F$231:$P$461,11,FALSE)</f>
        <v>0.5</v>
      </c>
      <c r="AF125" s="73">
        <f>VLOOKUP(W125,'[1]POS_EAD_0112 a 3101_CAMP. REG)'!$F$231:$Q$461,12,FALSE)</f>
        <v>93.42</v>
      </c>
      <c r="AH125" s="121" t="s">
        <v>78</v>
      </c>
      <c r="AI125" s="69" t="s">
        <v>19</v>
      </c>
      <c r="AJ125" s="68" t="str">
        <f>VLOOKUP(UNG[[#This Row],[CURSO]],'[1]POS_EAD_0112 a 3101_CAMP. REG)'!$F$463:$G$688,2,FALSE)</f>
        <v>Humanas</v>
      </c>
      <c r="AK125" s="68">
        <f>VLOOKUP(UNG[[#This Row],[CURSO]],'[1]POS_EAD_0112 a 3101_CAMP. REG)'!$F$463:$H$688,3,FALSE)</f>
        <v>12</v>
      </c>
      <c r="AL125" s="68">
        <f>VLOOKUP(UNG[[#This Row],[CURSO]],'[1]POS_EAD_0112 a 3101_CAMP. REG)'!$F$463:$I$688,4,FALSE)</f>
        <v>19</v>
      </c>
      <c r="AM125" s="71">
        <f>VLOOKUP(UNG[[#This Row],[CURSO]],'[1]POS_EAD_0112 a 3101_CAMP. REG)'!$F$463:$J$688,5,FALSE)</f>
        <v>184.28091221052631</v>
      </c>
      <c r="AN125" s="124">
        <f>VLOOKUP(UNG[[#This Row],[CURSO]],'[1]POS_EAD_0112 a 3101_CAMP. REG)'!$F$463:$L$688,7,FALSE)</f>
        <v>0.45</v>
      </c>
      <c r="AO125" s="71">
        <f>VLOOKUP(UNG[[#This Row],[CURSO]],'[1]POS_EAD_0112 a 3101_CAMP. REG)'!$F$463:$M$688,8,FALSE)</f>
        <v>91.22</v>
      </c>
      <c r="AP125" s="124">
        <f>VLOOKUP(UNG[[#This Row],[CURSO]],'[1]POS_EAD_0112 a 3101_CAMP. REG)'!$F$463:$P$688,11,FALSE)</f>
        <v>0.5</v>
      </c>
      <c r="AQ125" s="71">
        <f>VLOOKUP(UNG[[#This Row],[CURSO]],'[1]POS_EAD_0112 a 3101_CAMP. REG)'!$F$463:$Q$688,12,FALSE)</f>
        <v>82.93</v>
      </c>
      <c r="AS125" s="121" t="s">
        <v>78</v>
      </c>
      <c r="AT125" s="69" t="s">
        <v>19</v>
      </c>
      <c r="AU125" s="69" t="str">
        <f>VLOOKUP(UNINASSAU[[#This Row],[CURSO]],'[1]POS_EAD_0112 a 3101_CAMP. REG)'!$F$690:$G$915,2,FALSE)</f>
        <v>Humanas</v>
      </c>
      <c r="AV125" s="69">
        <f>VLOOKUP(UNINASSAU[[#This Row],[CURSO]],'[1]POS_EAD_0112 a 3101_CAMP. REG)'!$F$690:$H$915,3,FALSE)</f>
        <v>12</v>
      </c>
      <c r="AW125" s="69">
        <f>VLOOKUP(UNINASSAU[[#This Row],[CURSO]],'[1]POS_EAD_0112 a 3101_CAMP. REG)'!$F$690:$I$915,4,FALSE)</f>
        <v>19</v>
      </c>
      <c r="AX125" s="73">
        <f>VLOOKUP(UNINASSAU[[#This Row],[CURSO]],'[1]POS_EAD_0112 a 3101_CAMP. REG)'!$F$690:$J$915,5,FALSE)</f>
        <v>184.28091221052631</v>
      </c>
      <c r="AY125" s="72">
        <f>VLOOKUP(UNINASSAU[[#This Row],[CURSO]],'[1]POS_EAD_0112 a 3101_CAMP. REG)'!$F$690:$L$915,7,FALSE)</f>
        <v>0.45</v>
      </c>
      <c r="AZ125" s="73">
        <f>VLOOKUP(UNINASSAU[[#This Row],[CURSO]],'[1]POS_EAD_0112 a 3101_CAMP. REG)'!$F$690:$N$915,8,FALSE)</f>
        <v>91.22</v>
      </c>
      <c r="BA125" s="72">
        <f>VLOOKUP(UNINASSAU[[#This Row],[CURSO]],'[1]POS_EAD_0112 a 3101_CAMP. REG)'!$F$690:$P$915,11,FALSE)</f>
        <v>0.5</v>
      </c>
      <c r="BB125" s="73">
        <f>VLOOKUP(UNINASSAU[[#This Row],[CURSO]],'[1]POS_EAD_0112 a 3101_CAMP. REG)'!$F$690:$Q$915,12,FALSE)</f>
        <v>82.93</v>
      </c>
      <c r="BD125" s="104">
        <v>122</v>
      </c>
      <c r="BE125" s="121" t="s">
        <v>78</v>
      </c>
      <c r="BF125" s="69" t="s">
        <v>19</v>
      </c>
    </row>
    <row r="126" spans="12:58" x14ac:dyDescent="0.25">
      <c r="L126" s="121" t="s">
        <v>223</v>
      </c>
      <c r="M126" s="69" t="s">
        <v>19</v>
      </c>
      <c r="N126" s="69" t="str">
        <f>VLOOKUP($L$4,'[1]POS_EAD_0112 a 3101_CAMP. REG)'!$F$5:$G$231,2,FALSE)</f>
        <v>Humanas</v>
      </c>
      <c r="O126" s="69">
        <f>VLOOKUP(L126,'[1]POS_EAD_0112 a 3101_CAMP. REG)'!$F$5:$H$231,3,FALSE)</f>
        <v>12</v>
      </c>
      <c r="P126" s="68">
        <f>VLOOKUP(L126,'[1]POS_EAD_0112 a 3101_CAMP. REG)'!$F$5:$I$231,4,FALSE)</f>
        <v>19</v>
      </c>
      <c r="Q126" s="73">
        <f>VLOOKUP(L126,'[1]POS_EAD_0112 a 3101_CAMP. REG)'!$F$5:$J$231,5,FALSE)</f>
        <v>184.28091221052631</v>
      </c>
      <c r="R126" s="124">
        <f>VLOOKUP(L126,'[1]POS_EAD_0112 a 3101_CAMP. REG)'!$F$5:$L$231,7,FALSE)</f>
        <v>0.45</v>
      </c>
      <c r="S126" s="73">
        <f>VLOOKUP(L126,'[1]POS_EAD_0112 a 3101_CAMP. REG)'!$F$5:$M$231,8,FALSE)</f>
        <v>91.22</v>
      </c>
      <c r="T126" s="124">
        <f>VLOOKUP(L126,'[1]POS_EAD_0112 a 3101_CAMP. REG)'!$F$5:$P$231,11,FALSE)</f>
        <v>0.5</v>
      </c>
      <c r="U126" s="73">
        <f>VLOOKUP(L126,'[1]POS_EAD_0112 a 3101_CAMP. REG)'!$F$5:$Q$231,12,FALSE)</f>
        <v>82.93</v>
      </c>
      <c r="W126" s="121" t="s">
        <v>223</v>
      </c>
      <c r="X126" s="69" t="s">
        <v>19</v>
      </c>
      <c r="Y126" s="69" t="str">
        <f>VLOOKUP(W126,'[1]POS_EAD_0112 a 3101_CAMP. REG)'!$F$231:$G$461,2,FALSE)</f>
        <v>Humanas</v>
      </c>
      <c r="Z126" s="68">
        <f>VLOOKUP(W126,'[1]POS_EAD_0112 a 3101_CAMP. REG)'!$F$231:$H$461,3,FALSE)</f>
        <v>12</v>
      </c>
      <c r="AA126" s="68">
        <f>VLOOKUP(W126,'[1]POS_EAD_0112 a 3101_CAMP. REG)'!$F$231:$I$461,4,FALSE)</f>
        <v>19</v>
      </c>
      <c r="AB126" s="73">
        <f>VLOOKUP(W126,'[1]POS_EAD_0112 a 3101_CAMP. REG)'!$F$231:$J$461,5,FALSE)</f>
        <v>207.609666</v>
      </c>
      <c r="AC126" s="72">
        <f>VLOOKUP(W126,'[1]POS_EAD_0112 a 3101_CAMP. REG)'!$F$231:$L$461,7,FALSE)</f>
        <v>0.45</v>
      </c>
      <c r="AD126" s="73">
        <f>VLOOKUP(W126,'[1]POS_EAD_0112 a 3101_CAMP. REG)'!$F$231:$M$461,8,FALSE)</f>
        <v>102.77</v>
      </c>
      <c r="AE126" s="72">
        <f>VLOOKUP(W126,'[1]POS_EAD_0112 a 3101_CAMP. REG)'!$F$231:$P$461,11,FALSE)</f>
        <v>0.5</v>
      </c>
      <c r="AF126" s="73">
        <f>VLOOKUP(W126,'[1]POS_EAD_0112 a 3101_CAMP. REG)'!$F$231:$Q$461,12,FALSE)</f>
        <v>93.42</v>
      </c>
      <c r="AH126" s="121" t="s">
        <v>223</v>
      </c>
      <c r="AI126" s="69" t="s">
        <v>19</v>
      </c>
      <c r="AJ126" s="68" t="str">
        <f>VLOOKUP(UNG[[#This Row],[CURSO]],'[1]POS_EAD_0112 a 3101_CAMP. REG)'!$F$463:$G$688,2,FALSE)</f>
        <v>Humanas</v>
      </c>
      <c r="AK126" s="68">
        <f>VLOOKUP(UNG[[#This Row],[CURSO]],'[1]POS_EAD_0112 a 3101_CAMP. REG)'!$F$463:$H$688,3,FALSE)</f>
        <v>12</v>
      </c>
      <c r="AL126" s="68">
        <f>VLOOKUP(UNG[[#This Row],[CURSO]],'[1]POS_EAD_0112 a 3101_CAMP. REG)'!$F$463:$I$688,4,FALSE)</f>
        <v>19</v>
      </c>
      <c r="AM126" s="71">
        <f>VLOOKUP(UNG[[#This Row],[CURSO]],'[1]POS_EAD_0112 a 3101_CAMP. REG)'!$F$463:$J$688,5,FALSE)</f>
        <v>184.28091221052631</v>
      </c>
      <c r="AN126" s="124">
        <f>VLOOKUP(UNG[[#This Row],[CURSO]],'[1]POS_EAD_0112 a 3101_CAMP. REG)'!$F$463:$L$688,7,FALSE)</f>
        <v>0.45</v>
      </c>
      <c r="AO126" s="71">
        <f>VLOOKUP(UNG[[#This Row],[CURSO]],'[1]POS_EAD_0112 a 3101_CAMP. REG)'!$F$463:$M$688,8,FALSE)</f>
        <v>91.22</v>
      </c>
      <c r="AP126" s="124">
        <f>VLOOKUP(UNG[[#This Row],[CURSO]],'[1]POS_EAD_0112 a 3101_CAMP. REG)'!$F$463:$P$688,11,FALSE)</f>
        <v>0.5</v>
      </c>
      <c r="AQ126" s="71">
        <f>VLOOKUP(UNG[[#This Row],[CURSO]],'[1]POS_EAD_0112 a 3101_CAMP. REG)'!$F$463:$Q$688,12,FALSE)</f>
        <v>82.93</v>
      </c>
      <c r="AS126" s="121" t="s">
        <v>223</v>
      </c>
      <c r="AT126" s="69" t="s">
        <v>19</v>
      </c>
      <c r="AU126" s="69" t="str">
        <f>VLOOKUP(UNINASSAU[[#This Row],[CURSO]],'[1]POS_EAD_0112 a 3101_CAMP. REG)'!$F$690:$G$915,2,FALSE)</f>
        <v>Humanas</v>
      </c>
      <c r="AV126" s="69">
        <f>VLOOKUP(UNINASSAU[[#This Row],[CURSO]],'[1]POS_EAD_0112 a 3101_CAMP. REG)'!$F$690:$H$915,3,FALSE)</f>
        <v>12</v>
      </c>
      <c r="AW126" s="69">
        <f>VLOOKUP(UNINASSAU[[#This Row],[CURSO]],'[1]POS_EAD_0112 a 3101_CAMP. REG)'!$F$690:$I$915,4,FALSE)</f>
        <v>19</v>
      </c>
      <c r="AX126" s="73">
        <f>VLOOKUP(UNINASSAU[[#This Row],[CURSO]],'[1]POS_EAD_0112 a 3101_CAMP. REG)'!$F$690:$J$915,5,FALSE)</f>
        <v>184.28091221052631</v>
      </c>
      <c r="AY126" s="72">
        <f>VLOOKUP(UNINASSAU[[#This Row],[CURSO]],'[1]POS_EAD_0112 a 3101_CAMP. REG)'!$F$690:$L$915,7,FALSE)</f>
        <v>0.45</v>
      </c>
      <c r="AZ126" s="73">
        <f>VLOOKUP(UNINASSAU[[#This Row],[CURSO]],'[1]POS_EAD_0112 a 3101_CAMP. REG)'!$F$690:$N$915,8,FALSE)</f>
        <v>91.22</v>
      </c>
      <c r="BA126" s="72">
        <f>VLOOKUP(UNINASSAU[[#This Row],[CURSO]],'[1]POS_EAD_0112 a 3101_CAMP. REG)'!$F$690:$P$915,11,FALSE)</f>
        <v>0.5</v>
      </c>
      <c r="BB126" s="73">
        <f>VLOOKUP(UNINASSAU[[#This Row],[CURSO]],'[1]POS_EAD_0112 a 3101_CAMP. REG)'!$F$690:$Q$915,12,FALSE)</f>
        <v>82.93</v>
      </c>
      <c r="BD126" s="104">
        <v>123</v>
      </c>
      <c r="BE126" s="121" t="s">
        <v>223</v>
      </c>
      <c r="BF126" s="69" t="s">
        <v>19</v>
      </c>
    </row>
    <row r="127" spans="12:58" x14ac:dyDescent="0.25">
      <c r="L127" s="121" t="s">
        <v>170</v>
      </c>
      <c r="M127" s="69" t="s">
        <v>19</v>
      </c>
      <c r="N127" s="69" t="str">
        <f>VLOOKUP($L$4,'[1]POS_EAD_0112 a 3101_CAMP. REG)'!$F$5:$G$231,2,FALSE)</f>
        <v>Humanas</v>
      </c>
      <c r="O127" s="69">
        <f>VLOOKUP(L127,'[1]POS_EAD_0112 a 3101_CAMP. REG)'!$F$5:$H$231,3,FALSE)</f>
        <v>12</v>
      </c>
      <c r="P127" s="68">
        <f>VLOOKUP(L127,'[1]POS_EAD_0112 a 3101_CAMP. REG)'!$F$5:$I$231,4,FALSE)</f>
        <v>19</v>
      </c>
      <c r="Q127" s="73">
        <f>VLOOKUP(L127,'[1]POS_EAD_0112 a 3101_CAMP. REG)'!$F$5:$J$231,5,FALSE)</f>
        <v>277.58266800000001</v>
      </c>
      <c r="R127" s="124">
        <f>VLOOKUP(L127,'[1]POS_EAD_0112 a 3101_CAMP. REG)'!$F$5:$L$231,7,FALSE)</f>
        <v>0.45</v>
      </c>
      <c r="S127" s="73">
        <f>VLOOKUP(L127,'[1]POS_EAD_0112 a 3101_CAMP. REG)'!$F$5:$M$231,8,FALSE)</f>
        <v>137.4</v>
      </c>
      <c r="T127" s="124">
        <f>VLOOKUP(L127,'[1]POS_EAD_0112 a 3101_CAMP. REG)'!$F$5:$P$231,11,FALSE)</f>
        <v>0.5</v>
      </c>
      <c r="U127" s="73">
        <f>VLOOKUP(L127,'[1]POS_EAD_0112 a 3101_CAMP. REG)'!$F$5:$Q$231,12,FALSE)</f>
        <v>124.91</v>
      </c>
      <c r="W127" s="121" t="s">
        <v>170</v>
      </c>
      <c r="X127" s="69" t="s">
        <v>19</v>
      </c>
      <c r="Y127" s="69" t="str">
        <f>VLOOKUP(W127,'[1]POS_EAD_0112 a 3101_CAMP. REG)'!$F$231:$G$461,2,FALSE)</f>
        <v>Saúde</v>
      </c>
      <c r="Z127" s="68">
        <f>VLOOKUP(W127,'[1]POS_EAD_0112 a 3101_CAMP. REG)'!$F$231:$H$461,3,FALSE)</f>
        <v>12</v>
      </c>
      <c r="AA127" s="68">
        <f>VLOOKUP(W127,'[1]POS_EAD_0112 a 3101_CAMP. REG)'!$F$231:$I$461,4,FALSE)</f>
        <v>19</v>
      </c>
      <c r="AB127" s="73">
        <f>VLOOKUP(W127,'[1]POS_EAD_0112 a 3101_CAMP. REG)'!$F$231:$J$461,5,FALSE)</f>
        <v>300.91749900000002</v>
      </c>
      <c r="AC127" s="72">
        <f>VLOOKUP(W127,'[1]POS_EAD_0112 a 3101_CAMP. REG)'!$F$231:$L$461,7,FALSE)</f>
        <v>0.45</v>
      </c>
      <c r="AD127" s="73">
        <f>VLOOKUP(W127,'[1]POS_EAD_0112 a 3101_CAMP. REG)'!$F$231:$M$461,8,FALSE)</f>
        <v>148.94999999999999</v>
      </c>
      <c r="AE127" s="72">
        <f>VLOOKUP(W127,'[1]POS_EAD_0112 a 3101_CAMP. REG)'!$F$231:$P$461,11,FALSE)</f>
        <v>0.5</v>
      </c>
      <c r="AF127" s="73">
        <f>VLOOKUP(W127,'[1]POS_EAD_0112 a 3101_CAMP. REG)'!$F$231:$Q$461,12,FALSE)</f>
        <v>135.41</v>
      </c>
      <c r="AH127" s="121" t="s">
        <v>170</v>
      </c>
      <c r="AI127" s="69" t="s">
        <v>19</v>
      </c>
      <c r="AJ127" s="68" t="str">
        <f>VLOOKUP(UNG[[#This Row],[CURSO]],'[1]POS_EAD_0112 a 3101_CAMP. REG)'!$F$463:$G$688,2,FALSE)</f>
        <v>Saúde</v>
      </c>
      <c r="AK127" s="68">
        <f>VLOOKUP(UNG[[#This Row],[CURSO]],'[1]POS_EAD_0112 a 3101_CAMP. REG)'!$F$463:$H$688,3,FALSE)</f>
        <v>12</v>
      </c>
      <c r="AL127" s="68">
        <f>VLOOKUP(UNG[[#This Row],[CURSO]],'[1]POS_EAD_0112 a 3101_CAMP. REG)'!$F$463:$I$688,4,FALSE)</f>
        <v>19</v>
      </c>
      <c r="AM127" s="71">
        <f>VLOOKUP(UNG[[#This Row],[CURSO]],'[1]POS_EAD_0112 a 3101_CAMP. REG)'!$F$463:$J$688,5,FALSE)</f>
        <v>277.58266800000001</v>
      </c>
      <c r="AN127" s="124">
        <f>VLOOKUP(UNG[[#This Row],[CURSO]],'[1]POS_EAD_0112 a 3101_CAMP. REG)'!$F$463:$L$688,7,FALSE)</f>
        <v>0.45</v>
      </c>
      <c r="AO127" s="71">
        <f>VLOOKUP(UNG[[#This Row],[CURSO]],'[1]POS_EAD_0112 a 3101_CAMP. REG)'!$F$463:$M$688,8,FALSE)</f>
        <v>137.4</v>
      </c>
      <c r="AP127" s="124">
        <f>VLOOKUP(UNG[[#This Row],[CURSO]],'[1]POS_EAD_0112 a 3101_CAMP. REG)'!$F$463:$P$688,11,FALSE)</f>
        <v>0.5</v>
      </c>
      <c r="AQ127" s="71">
        <f>VLOOKUP(UNG[[#This Row],[CURSO]],'[1]POS_EAD_0112 a 3101_CAMP. REG)'!$F$463:$Q$688,12,FALSE)</f>
        <v>124.91</v>
      </c>
      <c r="AS127" s="121" t="s">
        <v>170</v>
      </c>
      <c r="AT127" s="69" t="s">
        <v>19</v>
      </c>
      <c r="AU127" s="69" t="str">
        <f>VLOOKUP(UNINASSAU[[#This Row],[CURSO]],'[1]POS_EAD_0112 a 3101_CAMP. REG)'!$F$690:$G$915,2,FALSE)</f>
        <v>Saúde</v>
      </c>
      <c r="AV127" s="69">
        <f>VLOOKUP(UNINASSAU[[#This Row],[CURSO]],'[1]POS_EAD_0112 a 3101_CAMP. REG)'!$F$690:$H$915,3,FALSE)</f>
        <v>12</v>
      </c>
      <c r="AW127" s="69">
        <f>VLOOKUP(UNINASSAU[[#This Row],[CURSO]],'[1]POS_EAD_0112 a 3101_CAMP. REG)'!$F$690:$I$915,4,FALSE)</f>
        <v>19</v>
      </c>
      <c r="AX127" s="73">
        <f>VLOOKUP(UNINASSAU[[#This Row],[CURSO]],'[1]POS_EAD_0112 a 3101_CAMP. REG)'!$F$690:$J$915,5,FALSE)</f>
        <v>277.58266800000001</v>
      </c>
      <c r="AY127" s="72">
        <f>VLOOKUP(UNINASSAU[[#This Row],[CURSO]],'[1]POS_EAD_0112 a 3101_CAMP. REG)'!$F$690:$L$915,7,FALSE)</f>
        <v>0.45</v>
      </c>
      <c r="AZ127" s="73">
        <f>VLOOKUP(UNINASSAU[[#This Row],[CURSO]],'[1]POS_EAD_0112 a 3101_CAMP. REG)'!$F$690:$N$915,8,FALSE)</f>
        <v>137.4</v>
      </c>
      <c r="BA127" s="72">
        <f>VLOOKUP(UNINASSAU[[#This Row],[CURSO]],'[1]POS_EAD_0112 a 3101_CAMP. REG)'!$F$690:$P$915,11,FALSE)</f>
        <v>0.5</v>
      </c>
      <c r="BB127" s="73">
        <f>VLOOKUP(UNINASSAU[[#This Row],[CURSO]],'[1]POS_EAD_0112 a 3101_CAMP. REG)'!$F$690:$Q$915,12,FALSE)</f>
        <v>124.91</v>
      </c>
      <c r="BD127" s="104">
        <v>124</v>
      </c>
      <c r="BE127" s="121" t="s">
        <v>170</v>
      </c>
      <c r="BF127" s="69" t="s">
        <v>19</v>
      </c>
    </row>
    <row r="128" spans="12:58" x14ac:dyDescent="0.25">
      <c r="L128" s="121" t="s">
        <v>230</v>
      </c>
      <c r="M128" s="69" t="s">
        <v>19</v>
      </c>
      <c r="N128" s="69" t="str">
        <f>VLOOKUP($L$4,'[1]POS_EAD_0112 a 3101_CAMP. REG)'!$F$5:$G$231,2,FALSE)</f>
        <v>Humanas</v>
      </c>
      <c r="O128" s="69">
        <f>VLOOKUP(L128,'[1]POS_EAD_0112 a 3101_CAMP. REG)'!$F$5:$H$231,3,FALSE)</f>
        <v>12</v>
      </c>
      <c r="P128" s="68">
        <f>VLOOKUP(L128,'[1]POS_EAD_0112 a 3101_CAMP. REG)'!$F$5:$I$231,4,FALSE)</f>
        <v>19</v>
      </c>
      <c r="Q128" s="73">
        <f>VLOOKUP(L128,'[1]POS_EAD_0112 a 3101_CAMP. REG)'!$F$5:$J$231,5,FALSE)</f>
        <v>184.28091221052631</v>
      </c>
      <c r="R128" s="124">
        <f>VLOOKUP(L128,'[1]POS_EAD_0112 a 3101_CAMP. REG)'!$F$5:$L$231,7,FALSE)</f>
        <v>0.45</v>
      </c>
      <c r="S128" s="73">
        <f>VLOOKUP(L128,'[1]POS_EAD_0112 a 3101_CAMP. REG)'!$F$5:$M$231,8,FALSE)</f>
        <v>91.22</v>
      </c>
      <c r="T128" s="124">
        <f>VLOOKUP(L128,'[1]POS_EAD_0112 a 3101_CAMP. REG)'!$F$5:$P$231,11,FALSE)</f>
        <v>0.5</v>
      </c>
      <c r="U128" s="73">
        <f>VLOOKUP(L128,'[1]POS_EAD_0112 a 3101_CAMP. REG)'!$F$5:$Q$231,12,FALSE)</f>
        <v>82.93</v>
      </c>
      <c r="W128" s="121" t="s">
        <v>230</v>
      </c>
      <c r="X128" s="69" t="s">
        <v>19</v>
      </c>
      <c r="Y128" s="69" t="str">
        <f>VLOOKUP(W128,'[1]POS_EAD_0112 a 3101_CAMP. REG)'!$F$231:$G$461,2,FALSE)</f>
        <v>Humanas</v>
      </c>
      <c r="Z128" s="68">
        <f>VLOOKUP(W128,'[1]POS_EAD_0112 a 3101_CAMP. REG)'!$F$231:$H$461,3,FALSE)</f>
        <v>12</v>
      </c>
      <c r="AA128" s="68">
        <f>VLOOKUP(W128,'[1]POS_EAD_0112 a 3101_CAMP. REG)'!$F$231:$I$461,4,FALSE)</f>
        <v>19</v>
      </c>
      <c r="AB128" s="73">
        <f>VLOOKUP(W128,'[1]POS_EAD_0112 a 3101_CAMP. REG)'!$F$231:$J$461,5,FALSE)</f>
        <v>207.609666</v>
      </c>
      <c r="AC128" s="72">
        <f>VLOOKUP(W128,'[1]POS_EAD_0112 a 3101_CAMP. REG)'!$F$231:$L$461,7,FALSE)</f>
        <v>0.45</v>
      </c>
      <c r="AD128" s="73">
        <f>VLOOKUP(W128,'[1]POS_EAD_0112 a 3101_CAMP. REG)'!$F$231:$M$461,8,FALSE)</f>
        <v>102.77</v>
      </c>
      <c r="AE128" s="72">
        <f>VLOOKUP(W128,'[1]POS_EAD_0112 a 3101_CAMP. REG)'!$F$231:$P$461,11,FALSE)</f>
        <v>0.5</v>
      </c>
      <c r="AF128" s="73">
        <f>VLOOKUP(W128,'[1]POS_EAD_0112 a 3101_CAMP. REG)'!$F$231:$Q$461,12,FALSE)</f>
        <v>93.42</v>
      </c>
      <c r="AH128" s="121" t="s">
        <v>230</v>
      </c>
      <c r="AI128" s="69" t="s">
        <v>19</v>
      </c>
      <c r="AJ128" s="68" t="str">
        <f>VLOOKUP(UNG[[#This Row],[CURSO]],'[1]POS_EAD_0112 a 3101_CAMP. REG)'!$F$463:$G$688,2,FALSE)</f>
        <v>Humanas</v>
      </c>
      <c r="AK128" s="68">
        <f>VLOOKUP(UNG[[#This Row],[CURSO]],'[1]POS_EAD_0112 a 3101_CAMP. REG)'!$F$463:$H$688,3,FALSE)</f>
        <v>12</v>
      </c>
      <c r="AL128" s="68">
        <f>VLOOKUP(UNG[[#This Row],[CURSO]],'[1]POS_EAD_0112 a 3101_CAMP. REG)'!$F$463:$I$688,4,FALSE)</f>
        <v>19</v>
      </c>
      <c r="AM128" s="71">
        <f>VLOOKUP(UNG[[#This Row],[CURSO]],'[1]POS_EAD_0112 a 3101_CAMP. REG)'!$F$463:$J$688,5,FALSE)</f>
        <v>184.28091221052631</v>
      </c>
      <c r="AN128" s="124">
        <f>VLOOKUP(UNG[[#This Row],[CURSO]],'[1]POS_EAD_0112 a 3101_CAMP. REG)'!$F$463:$L$688,7,FALSE)</f>
        <v>0.45</v>
      </c>
      <c r="AO128" s="71">
        <f>VLOOKUP(UNG[[#This Row],[CURSO]],'[1]POS_EAD_0112 a 3101_CAMP. REG)'!$F$463:$M$688,8,FALSE)</f>
        <v>91.22</v>
      </c>
      <c r="AP128" s="124">
        <f>VLOOKUP(UNG[[#This Row],[CURSO]],'[1]POS_EAD_0112 a 3101_CAMP. REG)'!$F$463:$P$688,11,FALSE)</f>
        <v>0.5</v>
      </c>
      <c r="AQ128" s="71">
        <f>VLOOKUP(UNG[[#This Row],[CURSO]],'[1]POS_EAD_0112 a 3101_CAMP. REG)'!$F$463:$Q$688,12,FALSE)</f>
        <v>82.93</v>
      </c>
      <c r="AS128" s="121" t="s">
        <v>230</v>
      </c>
      <c r="AT128" s="69" t="s">
        <v>19</v>
      </c>
      <c r="AU128" s="69" t="str">
        <f>VLOOKUP(UNINASSAU[[#This Row],[CURSO]],'[1]POS_EAD_0112 a 3101_CAMP. REG)'!$F$690:$G$915,2,FALSE)</f>
        <v>Humanas</v>
      </c>
      <c r="AV128" s="69">
        <f>VLOOKUP(UNINASSAU[[#This Row],[CURSO]],'[1]POS_EAD_0112 a 3101_CAMP. REG)'!$F$690:$H$915,3,FALSE)</f>
        <v>12</v>
      </c>
      <c r="AW128" s="69">
        <f>VLOOKUP(UNINASSAU[[#This Row],[CURSO]],'[1]POS_EAD_0112 a 3101_CAMP. REG)'!$F$690:$I$915,4,FALSE)</f>
        <v>19</v>
      </c>
      <c r="AX128" s="73">
        <f>VLOOKUP(UNINASSAU[[#This Row],[CURSO]],'[1]POS_EAD_0112 a 3101_CAMP. REG)'!$F$690:$J$915,5,FALSE)</f>
        <v>184.28091221052631</v>
      </c>
      <c r="AY128" s="72">
        <f>VLOOKUP(UNINASSAU[[#This Row],[CURSO]],'[1]POS_EAD_0112 a 3101_CAMP. REG)'!$F$690:$L$915,7,FALSE)</f>
        <v>0.45</v>
      </c>
      <c r="AZ128" s="73">
        <f>VLOOKUP(UNINASSAU[[#This Row],[CURSO]],'[1]POS_EAD_0112 a 3101_CAMP. REG)'!$F$690:$N$915,8,FALSE)</f>
        <v>91.22</v>
      </c>
      <c r="BA128" s="72">
        <f>VLOOKUP(UNINASSAU[[#This Row],[CURSO]],'[1]POS_EAD_0112 a 3101_CAMP. REG)'!$F$690:$P$915,11,FALSE)</f>
        <v>0.5</v>
      </c>
      <c r="BB128" s="73">
        <f>VLOOKUP(UNINASSAU[[#This Row],[CURSO]],'[1]POS_EAD_0112 a 3101_CAMP. REG)'!$F$690:$Q$915,12,FALSE)</f>
        <v>82.93</v>
      </c>
      <c r="BD128" s="104">
        <v>125</v>
      </c>
      <c r="BE128" s="121" t="s">
        <v>230</v>
      </c>
      <c r="BF128" s="69" t="s">
        <v>19</v>
      </c>
    </row>
    <row r="129" spans="12:58" x14ac:dyDescent="0.25">
      <c r="L129" s="121" t="s">
        <v>218</v>
      </c>
      <c r="M129" s="69" t="s">
        <v>19</v>
      </c>
      <c r="N129" s="69" t="str">
        <f>VLOOKUP($L$4,'[1]POS_EAD_0112 a 3101_CAMP. REG)'!$F$5:$G$231,2,FALSE)</f>
        <v>Humanas</v>
      </c>
      <c r="O129" s="69">
        <f>VLOOKUP(L129,'[1]POS_EAD_0112 a 3101_CAMP. REG)'!$F$5:$H$231,3,FALSE)</f>
        <v>12</v>
      </c>
      <c r="P129" s="68">
        <f>VLOOKUP(L129,'[1]POS_EAD_0112 a 3101_CAMP. REG)'!$F$5:$I$231,4,FALSE)</f>
        <v>19</v>
      </c>
      <c r="Q129" s="73">
        <f>VLOOKUP(L129,'[1]POS_EAD_0112 a 3101_CAMP. REG)'!$F$5:$J$231,5,FALSE)</f>
        <v>184.28091221052631</v>
      </c>
      <c r="R129" s="124">
        <f>VLOOKUP(L129,'[1]POS_EAD_0112 a 3101_CAMP. REG)'!$F$5:$L$231,7,FALSE)</f>
        <v>0.45</v>
      </c>
      <c r="S129" s="73">
        <f>VLOOKUP(L129,'[1]POS_EAD_0112 a 3101_CAMP. REG)'!$F$5:$M$231,8,FALSE)</f>
        <v>91.22</v>
      </c>
      <c r="T129" s="124">
        <f>VLOOKUP(L129,'[1]POS_EAD_0112 a 3101_CAMP. REG)'!$F$5:$P$231,11,FALSE)</f>
        <v>0.5</v>
      </c>
      <c r="U129" s="73">
        <f>VLOOKUP(L129,'[1]POS_EAD_0112 a 3101_CAMP. REG)'!$F$5:$Q$231,12,FALSE)</f>
        <v>82.93</v>
      </c>
      <c r="W129" s="121" t="s">
        <v>218</v>
      </c>
      <c r="X129" s="69" t="s">
        <v>19</v>
      </c>
      <c r="Y129" s="69" t="str">
        <f>VLOOKUP(W129,'[1]POS_EAD_0112 a 3101_CAMP. REG)'!$F$231:$G$461,2,FALSE)</f>
        <v>Humanas</v>
      </c>
      <c r="Z129" s="68">
        <f>VLOOKUP(W129,'[1]POS_EAD_0112 a 3101_CAMP. REG)'!$F$231:$H$461,3,FALSE)</f>
        <v>12</v>
      </c>
      <c r="AA129" s="68">
        <f>VLOOKUP(W129,'[1]POS_EAD_0112 a 3101_CAMP. REG)'!$F$231:$I$461,4,FALSE)</f>
        <v>19</v>
      </c>
      <c r="AB129" s="73">
        <f>VLOOKUP(W129,'[1]POS_EAD_0112 a 3101_CAMP. REG)'!$F$231:$J$461,5,FALSE)</f>
        <v>207.609666</v>
      </c>
      <c r="AC129" s="72">
        <f>VLOOKUP(W129,'[1]POS_EAD_0112 a 3101_CAMP. REG)'!$F$231:$L$461,7,FALSE)</f>
        <v>0.45</v>
      </c>
      <c r="AD129" s="73">
        <f>VLOOKUP(W129,'[1]POS_EAD_0112 a 3101_CAMP. REG)'!$F$231:$M$461,8,FALSE)</f>
        <v>102.77</v>
      </c>
      <c r="AE129" s="72">
        <f>VLOOKUP(W129,'[1]POS_EAD_0112 a 3101_CAMP. REG)'!$F$231:$P$461,11,FALSE)</f>
        <v>0.5</v>
      </c>
      <c r="AF129" s="73">
        <f>VLOOKUP(W129,'[1]POS_EAD_0112 a 3101_CAMP. REG)'!$F$231:$Q$461,12,FALSE)</f>
        <v>93.42</v>
      </c>
      <c r="AH129" s="121" t="s">
        <v>218</v>
      </c>
      <c r="AI129" s="69" t="s">
        <v>19</v>
      </c>
      <c r="AJ129" s="68" t="str">
        <f>VLOOKUP(UNG[[#This Row],[CURSO]],'[1]POS_EAD_0112 a 3101_CAMP. REG)'!$F$463:$G$688,2,FALSE)</f>
        <v>Humanas</v>
      </c>
      <c r="AK129" s="68">
        <f>VLOOKUP(UNG[[#This Row],[CURSO]],'[1]POS_EAD_0112 a 3101_CAMP. REG)'!$F$463:$H$688,3,FALSE)</f>
        <v>12</v>
      </c>
      <c r="AL129" s="68">
        <f>VLOOKUP(UNG[[#This Row],[CURSO]],'[1]POS_EAD_0112 a 3101_CAMP. REG)'!$F$463:$I$688,4,FALSE)</f>
        <v>19</v>
      </c>
      <c r="AM129" s="71">
        <f>VLOOKUP(UNG[[#This Row],[CURSO]],'[1]POS_EAD_0112 a 3101_CAMP. REG)'!$F$463:$J$688,5,FALSE)</f>
        <v>184.28091221052631</v>
      </c>
      <c r="AN129" s="124">
        <f>VLOOKUP(UNG[[#This Row],[CURSO]],'[1]POS_EAD_0112 a 3101_CAMP. REG)'!$F$463:$L$688,7,FALSE)</f>
        <v>0.45</v>
      </c>
      <c r="AO129" s="71">
        <f>VLOOKUP(UNG[[#This Row],[CURSO]],'[1]POS_EAD_0112 a 3101_CAMP. REG)'!$F$463:$M$688,8,FALSE)</f>
        <v>91.22</v>
      </c>
      <c r="AP129" s="124">
        <f>VLOOKUP(UNG[[#This Row],[CURSO]],'[1]POS_EAD_0112 a 3101_CAMP. REG)'!$F$463:$P$688,11,FALSE)</f>
        <v>0.5</v>
      </c>
      <c r="AQ129" s="71">
        <f>VLOOKUP(UNG[[#This Row],[CURSO]],'[1]POS_EAD_0112 a 3101_CAMP. REG)'!$F$463:$Q$688,12,FALSE)</f>
        <v>82.93</v>
      </c>
      <c r="AS129" s="121" t="s">
        <v>218</v>
      </c>
      <c r="AT129" s="69" t="s">
        <v>19</v>
      </c>
      <c r="AU129" s="69" t="str">
        <f>VLOOKUP(UNINASSAU[[#This Row],[CURSO]],'[1]POS_EAD_0112 a 3101_CAMP. REG)'!$F$690:$G$915,2,FALSE)</f>
        <v>Humanas</v>
      </c>
      <c r="AV129" s="69">
        <f>VLOOKUP(UNINASSAU[[#This Row],[CURSO]],'[1]POS_EAD_0112 a 3101_CAMP. REG)'!$F$690:$H$915,3,FALSE)</f>
        <v>12</v>
      </c>
      <c r="AW129" s="69">
        <f>VLOOKUP(UNINASSAU[[#This Row],[CURSO]],'[1]POS_EAD_0112 a 3101_CAMP. REG)'!$F$690:$I$915,4,FALSE)</f>
        <v>19</v>
      </c>
      <c r="AX129" s="73">
        <f>VLOOKUP(UNINASSAU[[#This Row],[CURSO]],'[1]POS_EAD_0112 a 3101_CAMP. REG)'!$F$690:$J$915,5,FALSE)</f>
        <v>184.28091221052631</v>
      </c>
      <c r="AY129" s="72">
        <f>VLOOKUP(UNINASSAU[[#This Row],[CURSO]],'[1]POS_EAD_0112 a 3101_CAMP. REG)'!$F$690:$L$915,7,FALSE)</f>
        <v>0.45</v>
      </c>
      <c r="AZ129" s="73">
        <f>VLOOKUP(UNINASSAU[[#This Row],[CURSO]],'[1]POS_EAD_0112 a 3101_CAMP. REG)'!$F$690:$N$915,8,FALSE)</f>
        <v>91.22</v>
      </c>
      <c r="BA129" s="72">
        <f>VLOOKUP(UNINASSAU[[#This Row],[CURSO]],'[1]POS_EAD_0112 a 3101_CAMP. REG)'!$F$690:$P$915,11,FALSE)</f>
        <v>0.5</v>
      </c>
      <c r="BB129" s="73">
        <f>VLOOKUP(UNINASSAU[[#This Row],[CURSO]],'[1]POS_EAD_0112 a 3101_CAMP. REG)'!$F$690:$Q$915,12,FALSE)</f>
        <v>82.93</v>
      </c>
      <c r="BD129" s="104">
        <v>126</v>
      </c>
      <c r="BE129" s="121" t="s">
        <v>218</v>
      </c>
      <c r="BF129" s="69" t="s">
        <v>19</v>
      </c>
    </row>
    <row r="130" spans="12:58" x14ac:dyDescent="0.25">
      <c r="L130" s="121" t="s">
        <v>220</v>
      </c>
      <c r="M130" s="69" t="s">
        <v>19</v>
      </c>
      <c r="N130" s="69" t="str">
        <f>VLOOKUP($L$4,'[1]POS_EAD_0112 a 3101_CAMP. REG)'!$F$5:$G$231,2,FALSE)</f>
        <v>Humanas</v>
      </c>
      <c r="O130" s="69">
        <f>VLOOKUP(L130,'[1]POS_EAD_0112 a 3101_CAMP. REG)'!$F$5:$H$231,3,FALSE)</f>
        <v>12</v>
      </c>
      <c r="P130" s="68">
        <f>VLOOKUP(L130,'[1]POS_EAD_0112 a 3101_CAMP. REG)'!$F$5:$I$231,4,FALSE)</f>
        <v>19</v>
      </c>
      <c r="Q130" s="73">
        <f>VLOOKUP(L130,'[1]POS_EAD_0112 a 3101_CAMP. REG)'!$F$5:$J$231,5,FALSE)</f>
        <v>184.28091221052631</v>
      </c>
      <c r="R130" s="124">
        <f>VLOOKUP(L130,'[1]POS_EAD_0112 a 3101_CAMP. REG)'!$F$5:$L$231,7,FALSE)</f>
        <v>0.45</v>
      </c>
      <c r="S130" s="73">
        <f>VLOOKUP(L130,'[1]POS_EAD_0112 a 3101_CAMP. REG)'!$F$5:$M$231,8,FALSE)</f>
        <v>91.22</v>
      </c>
      <c r="T130" s="124">
        <f>VLOOKUP(L130,'[1]POS_EAD_0112 a 3101_CAMP. REG)'!$F$5:$P$231,11,FALSE)</f>
        <v>0.5</v>
      </c>
      <c r="U130" s="73">
        <f>VLOOKUP(L130,'[1]POS_EAD_0112 a 3101_CAMP. REG)'!$F$5:$Q$231,12,FALSE)</f>
        <v>82.93</v>
      </c>
      <c r="W130" s="121" t="s">
        <v>220</v>
      </c>
      <c r="X130" s="69" t="s">
        <v>19</v>
      </c>
      <c r="Y130" s="69" t="str">
        <f>VLOOKUP(W130,'[1]POS_EAD_0112 a 3101_CAMP. REG)'!$F$231:$G$461,2,FALSE)</f>
        <v>Humanas</v>
      </c>
      <c r="Z130" s="68">
        <f>VLOOKUP(W130,'[1]POS_EAD_0112 a 3101_CAMP. REG)'!$F$231:$H$461,3,FALSE)</f>
        <v>12</v>
      </c>
      <c r="AA130" s="68">
        <f>VLOOKUP(W130,'[1]POS_EAD_0112 a 3101_CAMP. REG)'!$F$231:$I$461,4,FALSE)</f>
        <v>19</v>
      </c>
      <c r="AB130" s="73">
        <f>VLOOKUP(W130,'[1]POS_EAD_0112 a 3101_CAMP. REG)'!$F$231:$J$461,5,FALSE)</f>
        <v>207.609666</v>
      </c>
      <c r="AC130" s="72">
        <f>VLOOKUP(W130,'[1]POS_EAD_0112 a 3101_CAMP. REG)'!$F$231:$L$461,7,FALSE)</f>
        <v>0.45</v>
      </c>
      <c r="AD130" s="73">
        <f>VLOOKUP(W130,'[1]POS_EAD_0112 a 3101_CAMP. REG)'!$F$231:$M$461,8,FALSE)</f>
        <v>102.77</v>
      </c>
      <c r="AE130" s="72">
        <f>VLOOKUP(W130,'[1]POS_EAD_0112 a 3101_CAMP. REG)'!$F$231:$P$461,11,FALSE)</f>
        <v>0.5</v>
      </c>
      <c r="AF130" s="73">
        <f>VLOOKUP(W130,'[1]POS_EAD_0112 a 3101_CAMP. REG)'!$F$231:$Q$461,12,FALSE)</f>
        <v>93.42</v>
      </c>
      <c r="AH130" s="121" t="s">
        <v>220</v>
      </c>
      <c r="AI130" s="69" t="s">
        <v>19</v>
      </c>
      <c r="AJ130" s="68" t="str">
        <f>VLOOKUP(UNG[[#This Row],[CURSO]],'[1]POS_EAD_0112 a 3101_CAMP. REG)'!$F$463:$G$688,2,FALSE)</f>
        <v>Humanas</v>
      </c>
      <c r="AK130" s="68">
        <f>VLOOKUP(UNG[[#This Row],[CURSO]],'[1]POS_EAD_0112 a 3101_CAMP. REG)'!$F$463:$H$688,3,FALSE)</f>
        <v>12</v>
      </c>
      <c r="AL130" s="68">
        <f>VLOOKUP(UNG[[#This Row],[CURSO]],'[1]POS_EAD_0112 a 3101_CAMP. REG)'!$F$463:$I$688,4,FALSE)</f>
        <v>19</v>
      </c>
      <c r="AM130" s="71">
        <f>VLOOKUP(UNG[[#This Row],[CURSO]],'[1]POS_EAD_0112 a 3101_CAMP. REG)'!$F$463:$J$688,5,FALSE)</f>
        <v>184.28091221052631</v>
      </c>
      <c r="AN130" s="124">
        <f>VLOOKUP(UNG[[#This Row],[CURSO]],'[1]POS_EAD_0112 a 3101_CAMP. REG)'!$F$463:$L$688,7,FALSE)</f>
        <v>0.45</v>
      </c>
      <c r="AO130" s="71">
        <f>VLOOKUP(UNG[[#This Row],[CURSO]],'[1]POS_EAD_0112 a 3101_CAMP. REG)'!$F$463:$M$688,8,FALSE)</f>
        <v>91.22</v>
      </c>
      <c r="AP130" s="124">
        <f>VLOOKUP(UNG[[#This Row],[CURSO]],'[1]POS_EAD_0112 a 3101_CAMP. REG)'!$F$463:$P$688,11,FALSE)</f>
        <v>0.5</v>
      </c>
      <c r="AQ130" s="71">
        <f>VLOOKUP(UNG[[#This Row],[CURSO]],'[1]POS_EAD_0112 a 3101_CAMP. REG)'!$F$463:$Q$688,12,FALSE)</f>
        <v>82.93</v>
      </c>
      <c r="AS130" s="121" t="s">
        <v>220</v>
      </c>
      <c r="AT130" s="69" t="s">
        <v>19</v>
      </c>
      <c r="AU130" s="69" t="str">
        <f>VLOOKUP(UNINASSAU[[#This Row],[CURSO]],'[1]POS_EAD_0112 a 3101_CAMP. REG)'!$F$690:$G$915,2,FALSE)</f>
        <v>Humanas</v>
      </c>
      <c r="AV130" s="69">
        <f>VLOOKUP(UNINASSAU[[#This Row],[CURSO]],'[1]POS_EAD_0112 a 3101_CAMP. REG)'!$F$690:$H$915,3,FALSE)</f>
        <v>12</v>
      </c>
      <c r="AW130" s="69">
        <f>VLOOKUP(UNINASSAU[[#This Row],[CURSO]],'[1]POS_EAD_0112 a 3101_CAMP. REG)'!$F$690:$I$915,4,FALSE)</f>
        <v>19</v>
      </c>
      <c r="AX130" s="73">
        <f>VLOOKUP(UNINASSAU[[#This Row],[CURSO]],'[1]POS_EAD_0112 a 3101_CAMP. REG)'!$F$690:$J$915,5,FALSE)</f>
        <v>184.28091221052631</v>
      </c>
      <c r="AY130" s="72">
        <f>VLOOKUP(UNINASSAU[[#This Row],[CURSO]],'[1]POS_EAD_0112 a 3101_CAMP. REG)'!$F$690:$L$915,7,FALSE)</f>
        <v>0.45</v>
      </c>
      <c r="AZ130" s="73">
        <f>VLOOKUP(UNINASSAU[[#This Row],[CURSO]],'[1]POS_EAD_0112 a 3101_CAMP. REG)'!$F$690:$N$915,8,FALSE)</f>
        <v>91.22</v>
      </c>
      <c r="BA130" s="72">
        <f>VLOOKUP(UNINASSAU[[#This Row],[CURSO]],'[1]POS_EAD_0112 a 3101_CAMP. REG)'!$F$690:$P$915,11,FALSE)</f>
        <v>0.5</v>
      </c>
      <c r="BB130" s="73">
        <f>VLOOKUP(UNINASSAU[[#This Row],[CURSO]],'[1]POS_EAD_0112 a 3101_CAMP. REG)'!$F$690:$Q$915,12,FALSE)</f>
        <v>82.93</v>
      </c>
      <c r="BD130" s="104">
        <v>127</v>
      </c>
      <c r="BE130" s="121" t="s">
        <v>220</v>
      </c>
      <c r="BF130" s="69" t="s">
        <v>19</v>
      </c>
    </row>
    <row r="131" spans="12:58" x14ac:dyDescent="0.25">
      <c r="L131" s="121" t="s">
        <v>227</v>
      </c>
      <c r="M131" s="69" t="s">
        <v>19</v>
      </c>
      <c r="N131" s="69" t="str">
        <f>VLOOKUP($L$4,'[1]POS_EAD_0112 a 3101_CAMP. REG)'!$F$5:$G$231,2,FALSE)</f>
        <v>Humanas</v>
      </c>
      <c r="O131" s="69">
        <f>VLOOKUP(L131,'[1]POS_EAD_0112 a 3101_CAMP. REG)'!$F$5:$H$231,3,FALSE)</f>
        <v>12</v>
      </c>
      <c r="P131" s="68">
        <f>VLOOKUP(L131,'[1]POS_EAD_0112 a 3101_CAMP. REG)'!$F$5:$I$231,4,FALSE)</f>
        <v>19</v>
      </c>
      <c r="Q131" s="73">
        <f>VLOOKUP(L131,'[1]POS_EAD_0112 a 3101_CAMP. REG)'!$F$5:$J$231,5,FALSE)</f>
        <v>184.28091221052631</v>
      </c>
      <c r="R131" s="124">
        <f>VLOOKUP(L131,'[1]POS_EAD_0112 a 3101_CAMP. REG)'!$F$5:$L$231,7,FALSE)</f>
        <v>0.45</v>
      </c>
      <c r="S131" s="73">
        <f>VLOOKUP(L131,'[1]POS_EAD_0112 a 3101_CAMP. REG)'!$F$5:$M$231,8,FALSE)</f>
        <v>91.22</v>
      </c>
      <c r="T131" s="124">
        <f>VLOOKUP(L131,'[1]POS_EAD_0112 a 3101_CAMP. REG)'!$F$5:$P$231,11,FALSE)</f>
        <v>0.5</v>
      </c>
      <c r="U131" s="73">
        <f>VLOOKUP(L131,'[1]POS_EAD_0112 a 3101_CAMP. REG)'!$F$5:$Q$231,12,FALSE)</f>
        <v>82.93</v>
      </c>
      <c r="W131" s="121" t="s">
        <v>227</v>
      </c>
      <c r="X131" s="69" t="s">
        <v>19</v>
      </c>
      <c r="Y131" s="69" t="str">
        <f>VLOOKUP(W131,'[1]POS_EAD_0112 a 3101_CAMP. REG)'!$F$231:$G$461,2,FALSE)</f>
        <v>Saúde</v>
      </c>
      <c r="Z131" s="68">
        <f>VLOOKUP(W131,'[1]POS_EAD_0112 a 3101_CAMP. REG)'!$F$231:$H$461,3,FALSE)</f>
        <v>12</v>
      </c>
      <c r="AA131" s="68">
        <f>VLOOKUP(W131,'[1]POS_EAD_0112 a 3101_CAMP. REG)'!$F$231:$I$461,4,FALSE)</f>
        <v>19</v>
      </c>
      <c r="AB131" s="73">
        <f>VLOOKUP(W131,'[1]POS_EAD_0112 a 3101_CAMP. REG)'!$F$231:$J$461,5,FALSE)</f>
        <v>207.609666</v>
      </c>
      <c r="AC131" s="72">
        <f>VLOOKUP(W131,'[1]POS_EAD_0112 a 3101_CAMP. REG)'!$F$231:$L$461,7,FALSE)</f>
        <v>0.45</v>
      </c>
      <c r="AD131" s="73">
        <f>VLOOKUP(W131,'[1]POS_EAD_0112 a 3101_CAMP. REG)'!$F$231:$M$461,8,FALSE)</f>
        <v>102.77</v>
      </c>
      <c r="AE131" s="72">
        <f>VLOOKUP(W131,'[1]POS_EAD_0112 a 3101_CAMP. REG)'!$F$231:$P$461,11,FALSE)</f>
        <v>0.5</v>
      </c>
      <c r="AF131" s="73">
        <f>VLOOKUP(W131,'[1]POS_EAD_0112 a 3101_CAMP. REG)'!$F$231:$Q$461,12,FALSE)</f>
        <v>93.42</v>
      </c>
      <c r="AH131" s="121" t="s">
        <v>227</v>
      </c>
      <c r="AI131" s="69" t="s">
        <v>19</v>
      </c>
      <c r="AJ131" s="68" t="str">
        <f>VLOOKUP(UNG[[#This Row],[CURSO]],'[1]POS_EAD_0112 a 3101_CAMP. REG)'!$F$463:$G$688,2,FALSE)</f>
        <v>Saúde</v>
      </c>
      <c r="AK131" s="68">
        <f>VLOOKUP(UNG[[#This Row],[CURSO]],'[1]POS_EAD_0112 a 3101_CAMP. REG)'!$F$463:$H$688,3,FALSE)</f>
        <v>12</v>
      </c>
      <c r="AL131" s="68">
        <f>VLOOKUP(UNG[[#This Row],[CURSO]],'[1]POS_EAD_0112 a 3101_CAMP. REG)'!$F$463:$I$688,4,FALSE)</f>
        <v>19</v>
      </c>
      <c r="AM131" s="71">
        <f>VLOOKUP(UNG[[#This Row],[CURSO]],'[1]POS_EAD_0112 a 3101_CAMP. REG)'!$F$463:$J$688,5,FALSE)</f>
        <v>184.28091221052631</v>
      </c>
      <c r="AN131" s="124">
        <f>VLOOKUP(UNG[[#This Row],[CURSO]],'[1]POS_EAD_0112 a 3101_CAMP. REG)'!$F$463:$L$688,7,FALSE)</f>
        <v>0.45</v>
      </c>
      <c r="AO131" s="71">
        <f>VLOOKUP(UNG[[#This Row],[CURSO]],'[1]POS_EAD_0112 a 3101_CAMP. REG)'!$F$463:$M$688,8,FALSE)</f>
        <v>91.22</v>
      </c>
      <c r="AP131" s="124">
        <f>VLOOKUP(UNG[[#This Row],[CURSO]],'[1]POS_EAD_0112 a 3101_CAMP. REG)'!$F$463:$P$688,11,FALSE)</f>
        <v>0.5</v>
      </c>
      <c r="AQ131" s="71">
        <f>VLOOKUP(UNG[[#This Row],[CURSO]],'[1]POS_EAD_0112 a 3101_CAMP. REG)'!$F$463:$Q$688,12,FALSE)</f>
        <v>82.93</v>
      </c>
      <c r="AS131" s="121" t="s">
        <v>227</v>
      </c>
      <c r="AT131" s="69" t="s">
        <v>19</v>
      </c>
      <c r="AU131" s="69" t="str">
        <f>VLOOKUP(UNINASSAU[[#This Row],[CURSO]],'[1]POS_EAD_0112 a 3101_CAMP. REG)'!$F$690:$G$915,2,FALSE)</f>
        <v>Saúde</v>
      </c>
      <c r="AV131" s="69">
        <f>VLOOKUP(UNINASSAU[[#This Row],[CURSO]],'[1]POS_EAD_0112 a 3101_CAMP. REG)'!$F$690:$H$915,3,FALSE)</f>
        <v>12</v>
      </c>
      <c r="AW131" s="69">
        <f>VLOOKUP(UNINASSAU[[#This Row],[CURSO]],'[1]POS_EAD_0112 a 3101_CAMP. REG)'!$F$690:$I$915,4,FALSE)</f>
        <v>19</v>
      </c>
      <c r="AX131" s="73">
        <f>VLOOKUP(UNINASSAU[[#This Row],[CURSO]],'[1]POS_EAD_0112 a 3101_CAMP. REG)'!$F$690:$J$915,5,FALSE)</f>
        <v>184.28091221052631</v>
      </c>
      <c r="AY131" s="72">
        <f>VLOOKUP(UNINASSAU[[#This Row],[CURSO]],'[1]POS_EAD_0112 a 3101_CAMP. REG)'!$F$690:$L$915,7,FALSE)</f>
        <v>0.45</v>
      </c>
      <c r="AZ131" s="73">
        <f>VLOOKUP(UNINASSAU[[#This Row],[CURSO]],'[1]POS_EAD_0112 a 3101_CAMP. REG)'!$F$690:$N$915,8,FALSE)</f>
        <v>91.22</v>
      </c>
      <c r="BA131" s="72">
        <f>VLOOKUP(UNINASSAU[[#This Row],[CURSO]],'[1]POS_EAD_0112 a 3101_CAMP. REG)'!$F$690:$P$915,11,FALSE)</f>
        <v>0.5</v>
      </c>
      <c r="BB131" s="73">
        <f>VLOOKUP(UNINASSAU[[#This Row],[CURSO]],'[1]POS_EAD_0112 a 3101_CAMP. REG)'!$F$690:$Q$915,12,FALSE)</f>
        <v>82.93</v>
      </c>
      <c r="BD131" s="104">
        <v>128</v>
      </c>
      <c r="BE131" s="121" t="s">
        <v>227</v>
      </c>
      <c r="BF131" s="69" t="s">
        <v>19</v>
      </c>
    </row>
    <row r="132" spans="12:58" x14ac:dyDescent="0.25">
      <c r="L132" s="121" t="s">
        <v>235</v>
      </c>
      <c r="M132" s="69" t="s">
        <v>19</v>
      </c>
      <c r="N132" s="69" t="str">
        <f>VLOOKUP($L$4,'[1]POS_EAD_0112 a 3101_CAMP. REG)'!$F$5:$G$231,2,FALSE)</f>
        <v>Humanas</v>
      </c>
      <c r="O132" s="69">
        <f>VLOOKUP(L132,'[1]POS_EAD_0112 a 3101_CAMP. REG)'!$F$5:$H$231,3,FALSE)</f>
        <v>12</v>
      </c>
      <c r="P132" s="68">
        <f>VLOOKUP(L132,'[1]POS_EAD_0112 a 3101_CAMP. REG)'!$F$5:$I$231,4,FALSE)</f>
        <v>19</v>
      </c>
      <c r="Q132" s="73">
        <f>VLOOKUP(L132,'[1]POS_EAD_0112 a 3101_CAMP. REG)'!$F$5:$J$231,5,FALSE)</f>
        <v>184.28091221052631</v>
      </c>
      <c r="R132" s="124">
        <f>VLOOKUP(L132,'[1]POS_EAD_0112 a 3101_CAMP. REG)'!$F$5:$L$231,7,FALSE)</f>
        <v>0.45</v>
      </c>
      <c r="S132" s="73">
        <f>VLOOKUP(L132,'[1]POS_EAD_0112 a 3101_CAMP. REG)'!$F$5:$M$231,8,FALSE)</f>
        <v>91.22</v>
      </c>
      <c r="T132" s="124">
        <f>VLOOKUP(L132,'[1]POS_EAD_0112 a 3101_CAMP. REG)'!$F$5:$P$231,11,FALSE)</f>
        <v>0.5</v>
      </c>
      <c r="U132" s="73">
        <f>VLOOKUP(L132,'[1]POS_EAD_0112 a 3101_CAMP. REG)'!$F$5:$Q$231,12,FALSE)</f>
        <v>82.93</v>
      </c>
      <c r="W132" s="121" t="s">
        <v>235</v>
      </c>
      <c r="X132" s="69" t="s">
        <v>19</v>
      </c>
      <c r="Y132" s="69" t="str">
        <f>VLOOKUP(W132,'[1]POS_EAD_0112 a 3101_CAMP. REG)'!$F$231:$G$461,2,FALSE)</f>
        <v>Humanas</v>
      </c>
      <c r="Z132" s="68">
        <f>VLOOKUP(W132,'[1]POS_EAD_0112 a 3101_CAMP. REG)'!$F$231:$H$461,3,FALSE)</f>
        <v>12</v>
      </c>
      <c r="AA132" s="68">
        <f>VLOOKUP(W132,'[1]POS_EAD_0112 a 3101_CAMP. REG)'!$F$231:$I$461,4,FALSE)</f>
        <v>19</v>
      </c>
      <c r="AB132" s="73">
        <f>VLOOKUP(W132,'[1]POS_EAD_0112 a 3101_CAMP. REG)'!$F$231:$J$461,5,FALSE)</f>
        <v>207.609666</v>
      </c>
      <c r="AC132" s="72">
        <f>VLOOKUP(W132,'[1]POS_EAD_0112 a 3101_CAMP. REG)'!$F$231:$L$461,7,FALSE)</f>
        <v>0.45</v>
      </c>
      <c r="AD132" s="73">
        <f>VLOOKUP(W132,'[1]POS_EAD_0112 a 3101_CAMP. REG)'!$F$231:$M$461,8,FALSE)</f>
        <v>102.77</v>
      </c>
      <c r="AE132" s="72">
        <f>VLOOKUP(W132,'[1]POS_EAD_0112 a 3101_CAMP. REG)'!$F$231:$P$461,11,FALSE)</f>
        <v>0.5</v>
      </c>
      <c r="AF132" s="73">
        <f>VLOOKUP(W132,'[1]POS_EAD_0112 a 3101_CAMP. REG)'!$F$231:$Q$461,12,FALSE)</f>
        <v>93.42</v>
      </c>
      <c r="AH132" s="121" t="s">
        <v>235</v>
      </c>
      <c r="AI132" s="69" t="s">
        <v>19</v>
      </c>
      <c r="AJ132" s="68" t="str">
        <f>VLOOKUP(UNG[[#This Row],[CURSO]],'[1]POS_EAD_0112 a 3101_CAMP. REG)'!$F$463:$G$688,2,FALSE)</f>
        <v>Humanas</v>
      </c>
      <c r="AK132" s="68">
        <f>VLOOKUP(UNG[[#This Row],[CURSO]],'[1]POS_EAD_0112 a 3101_CAMP. REG)'!$F$463:$H$688,3,FALSE)</f>
        <v>12</v>
      </c>
      <c r="AL132" s="68">
        <f>VLOOKUP(UNG[[#This Row],[CURSO]],'[1]POS_EAD_0112 a 3101_CAMP. REG)'!$F$463:$I$688,4,FALSE)</f>
        <v>19</v>
      </c>
      <c r="AM132" s="71">
        <f>VLOOKUP(UNG[[#This Row],[CURSO]],'[1]POS_EAD_0112 a 3101_CAMP. REG)'!$F$463:$J$688,5,FALSE)</f>
        <v>184.28091221052631</v>
      </c>
      <c r="AN132" s="124">
        <f>VLOOKUP(UNG[[#This Row],[CURSO]],'[1]POS_EAD_0112 a 3101_CAMP. REG)'!$F$463:$L$688,7,FALSE)</f>
        <v>0.45</v>
      </c>
      <c r="AO132" s="71">
        <f>VLOOKUP(UNG[[#This Row],[CURSO]],'[1]POS_EAD_0112 a 3101_CAMP. REG)'!$F$463:$M$688,8,FALSE)</f>
        <v>91.22</v>
      </c>
      <c r="AP132" s="124">
        <f>VLOOKUP(UNG[[#This Row],[CURSO]],'[1]POS_EAD_0112 a 3101_CAMP. REG)'!$F$463:$P$688,11,FALSE)</f>
        <v>0.5</v>
      </c>
      <c r="AQ132" s="71">
        <f>VLOOKUP(UNG[[#This Row],[CURSO]],'[1]POS_EAD_0112 a 3101_CAMP. REG)'!$F$463:$Q$688,12,FALSE)</f>
        <v>82.93</v>
      </c>
      <c r="AS132" s="121" t="s">
        <v>235</v>
      </c>
      <c r="AT132" s="69" t="s">
        <v>19</v>
      </c>
      <c r="AU132" s="69" t="str">
        <f>VLOOKUP(UNINASSAU[[#This Row],[CURSO]],'[1]POS_EAD_0112 a 3101_CAMP. REG)'!$F$690:$G$915,2,FALSE)</f>
        <v>Humanas</v>
      </c>
      <c r="AV132" s="69">
        <f>VLOOKUP(UNINASSAU[[#This Row],[CURSO]],'[1]POS_EAD_0112 a 3101_CAMP. REG)'!$F$690:$H$915,3,FALSE)</f>
        <v>12</v>
      </c>
      <c r="AW132" s="69">
        <f>VLOOKUP(UNINASSAU[[#This Row],[CURSO]],'[1]POS_EAD_0112 a 3101_CAMP. REG)'!$F$690:$I$915,4,FALSE)</f>
        <v>19</v>
      </c>
      <c r="AX132" s="73">
        <f>VLOOKUP(UNINASSAU[[#This Row],[CURSO]],'[1]POS_EAD_0112 a 3101_CAMP. REG)'!$F$690:$J$915,5,FALSE)</f>
        <v>184.28091221052631</v>
      </c>
      <c r="AY132" s="72">
        <f>VLOOKUP(UNINASSAU[[#This Row],[CURSO]],'[1]POS_EAD_0112 a 3101_CAMP. REG)'!$F$690:$L$915,7,FALSE)</f>
        <v>0.45</v>
      </c>
      <c r="AZ132" s="73">
        <f>VLOOKUP(UNINASSAU[[#This Row],[CURSO]],'[1]POS_EAD_0112 a 3101_CAMP. REG)'!$F$690:$N$915,8,FALSE)</f>
        <v>91.22</v>
      </c>
      <c r="BA132" s="72">
        <f>VLOOKUP(UNINASSAU[[#This Row],[CURSO]],'[1]POS_EAD_0112 a 3101_CAMP. REG)'!$F$690:$P$915,11,FALSE)</f>
        <v>0.5</v>
      </c>
      <c r="BB132" s="73">
        <f>VLOOKUP(UNINASSAU[[#This Row],[CURSO]],'[1]POS_EAD_0112 a 3101_CAMP. REG)'!$F$690:$Q$915,12,FALSE)</f>
        <v>82.93</v>
      </c>
      <c r="BD132" s="104">
        <v>129</v>
      </c>
      <c r="BE132" s="121" t="s">
        <v>235</v>
      </c>
      <c r="BF132" s="69" t="s">
        <v>19</v>
      </c>
    </row>
    <row r="133" spans="12:58" x14ac:dyDescent="0.25">
      <c r="L133" s="121" t="s">
        <v>239</v>
      </c>
      <c r="M133" s="69" t="s">
        <v>19</v>
      </c>
      <c r="N133" s="69" t="str">
        <f>VLOOKUP($L$4,'[1]POS_EAD_0112 a 3101_CAMP. REG)'!$F$5:$G$231,2,FALSE)</f>
        <v>Humanas</v>
      </c>
      <c r="O133" s="69">
        <f>VLOOKUP(L133,'[1]POS_EAD_0112 a 3101_CAMP. REG)'!$F$5:$H$231,3,FALSE)</f>
        <v>12</v>
      </c>
      <c r="P133" s="68">
        <f>VLOOKUP(L133,'[1]POS_EAD_0112 a 3101_CAMP. REG)'!$F$5:$I$231,4,FALSE)</f>
        <v>19</v>
      </c>
      <c r="Q133" s="73">
        <f>VLOOKUP(L133,'[1]POS_EAD_0112 a 3101_CAMP. REG)'!$F$5:$J$231,5,FALSE)</f>
        <v>184.28091221052631</v>
      </c>
      <c r="R133" s="124">
        <f>VLOOKUP(L133,'[1]POS_EAD_0112 a 3101_CAMP. REG)'!$F$5:$L$231,7,FALSE)</f>
        <v>0.45</v>
      </c>
      <c r="S133" s="73">
        <f>VLOOKUP(L133,'[1]POS_EAD_0112 a 3101_CAMP. REG)'!$F$5:$M$231,8,FALSE)</f>
        <v>91.22</v>
      </c>
      <c r="T133" s="124">
        <f>VLOOKUP(L133,'[1]POS_EAD_0112 a 3101_CAMP. REG)'!$F$5:$P$231,11,FALSE)</f>
        <v>0.5</v>
      </c>
      <c r="U133" s="73">
        <f>VLOOKUP(L133,'[1]POS_EAD_0112 a 3101_CAMP. REG)'!$F$5:$Q$231,12,FALSE)</f>
        <v>82.93</v>
      </c>
      <c r="W133" s="121" t="s">
        <v>239</v>
      </c>
      <c r="X133" s="69" t="s">
        <v>19</v>
      </c>
      <c r="Y133" s="69" t="str">
        <f>VLOOKUP(W133,'[1]POS_EAD_0112 a 3101_CAMP. REG)'!$F$231:$G$461,2,FALSE)</f>
        <v>Saúde</v>
      </c>
      <c r="Z133" s="68">
        <f>VLOOKUP(W133,'[1]POS_EAD_0112 a 3101_CAMP. REG)'!$F$231:$H$461,3,FALSE)</f>
        <v>12</v>
      </c>
      <c r="AA133" s="68">
        <f>VLOOKUP(W133,'[1]POS_EAD_0112 a 3101_CAMP. REG)'!$F$231:$I$461,4,FALSE)</f>
        <v>19</v>
      </c>
      <c r="AB133" s="73">
        <f>VLOOKUP(W133,'[1]POS_EAD_0112 a 3101_CAMP. REG)'!$F$231:$J$461,5,FALSE)</f>
        <v>207.609666</v>
      </c>
      <c r="AC133" s="72">
        <f>VLOOKUP(W133,'[1]POS_EAD_0112 a 3101_CAMP. REG)'!$F$231:$L$461,7,FALSE)</f>
        <v>0.45</v>
      </c>
      <c r="AD133" s="73">
        <f>VLOOKUP(W133,'[1]POS_EAD_0112 a 3101_CAMP. REG)'!$F$231:$M$461,8,FALSE)</f>
        <v>102.77</v>
      </c>
      <c r="AE133" s="72">
        <f>VLOOKUP(W133,'[1]POS_EAD_0112 a 3101_CAMP. REG)'!$F$231:$P$461,11,FALSE)</f>
        <v>0.5</v>
      </c>
      <c r="AF133" s="73">
        <f>VLOOKUP(W133,'[1]POS_EAD_0112 a 3101_CAMP. REG)'!$F$231:$Q$461,12,FALSE)</f>
        <v>93.42</v>
      </c>
      <c r="AH133" s="121" t="s">
        <v>239</v>
      </c>
      <c r="AI133" s="69" t="s">
        <v>19</v>
      </c>
      <c r="AJ133" s="68" t="str">
        <f>VLOOKUP(UNG[[#This Row],[CURSO]],'[1]POS_EAD_0112 a 3101_CAMP. REG)'!$F$463:$G$688,2,FALSE)</f>
        <v>Saúde</v>
      </c>
      <c r="AK133" s="68">
        <f>VLOOKUP(UNG[[#This Row],[CURSO]],'[1]POS_EAD_0112 a 3101_CAMP. REG)'!$F$463:$H$688,3,FALSE)</f>
        <v>12</v>
      </c>
      <c r="AL133" s="68">
        <f>VLOOKUP(UNG[[#This Row],[CURSO]],'[1]POS_EAD_0112 a 3101_CAMP. REG)'!$F$463:$I$688,4,FALSE)</f>
        <v>19</v>
      </c>
      <c r="AM133" s="71">
        <f>VLOOKUP(UNG[[#This Row],[CURSO]],'[1]POS_EAD_0112 a 3101_CAMP. REG)'!$F$463:$J$688,5,FALSE)</f>
        <v>184.28091221052631</v>
      </c>
      <c r="AN133" s="124">
        <f>VLOOKUP(UNG[[#This Row],[CURSO]],'[1]POS_EAD_0112 a 3101_CAMP. REG)'!$F$463:$L$688,7,FALSE)</f>
        <v>0.45</v>
      </c>
      <c r="AO133" s="71">
        <f>VLOOKUP(UNG[[#This Row],[CURSO]],'[1]POS_EAD_0112 a 3101_CAMP. REG)'!$F$463:$M$688,8,FALSE)</f>
        <v>91.22</v>
      </c>
      <c r="AP133" s="124">
        <f>VLOOKUP(UNG[[#This Row],[CURSO]],'[1]POS_EAD_0112 a 3101_CAMP. REG)'!$F$463:$P$688,11,FALSE)</f>
        <v>0.5</v>
      </c>
      <c r="AQ133" s="71">
        <f>VLOOKUP(UNG[[#This Row],[CURSO]],'[1]POS_EAD_0112 a 3101_CAMP. REG)'!$F$463:$Q$688,12,FALSE)</f>
        <v>82.93</v>
      </c>
      <c r="AS133" s="121" t="s">
        <v>239</v>
      </c>
      <c r="AT133" s="69" t="s">
        <v>19</v>
      </c>
      <c r="AU133" s="69" t="str">
        <f>VLOOKUP(UNINASSAU[[#This Row],[CURSO]],'[1]POS_EAD_0112 a 3101_CAMP. REG)'!$F$690:$G$915,2,FALSE)</f>
        <v>Saúde</v>
      </c>
      <c r="AV133" s="69">
        <f>VLOOKUP(UNINASSAU[[#This Row],[CURSO]],'[1]POS_EAD_0112 a 3101_CAMP. REG)'!$F$690:$H$915,3,FALSE)</f>
        <v>12</v>
      </c>
      <c r="AW133" s="69">
        <f>VLOOKUP(UNINASSAU[[#This Row],[CURSO]],'[1]POS_EAD_0112 a 3101_CAMP. REG)'!$F$690:$I$915,4,FALSE)</f>
        <v>19</v>
      </c>
      <c r="AX133" s="73">
        <f>VLOOKUP(UNINASSAU[[#This Row],[CURSO]],'[1]POS_EAD_0112 a 3101_CAMP. REG)'!$F$690:$J$915,5,FALSE)</f>
        <v>184.28091221052631</v>
      </c>
      <c r="AY133" s="72">
        <f>VLOOKUP(UNINASSAU[[#This Row],[CURSO]],'[1]POS_EAD_0112 a 3101_CAMP. REG)'!$F$690:$L$915,7,FALSE)</f>
        <v>0.45</v>
      </c>
      <c r="AZ133" s="73">
        <f>VLOOKUP(UNINASSAU[[#This Row],[CURSO]],'[1]POS_EAD_0112 a 3101_CAMP. REG)'!$F$690:$N$915,8,FALSE)</f>
        <v>91.22</v>
      </c>
      <c r="BA133" s="72">
        <f>VLOOKUP(UNINASSAU[[#This Row],[CURSO]],'[1]POS_EAD_0112 a 3101_CAMP. REG)'!$F$690:$P$915,11,FALSE)</f>
        <v>0.5</v>
      </c>
      <c r="BB133" s="73">
        <f>VLOOKUP(UNINASSAU[[#This Row],[CURSO]],'[1]POS_EAD_0112 a 3101_CAMP. REG)'!$F$690:$Q$915,12,FALSE)</f>
        <v>82.93</v>
      </c>
      <c r="BD133" s="104">
        <v>130</v>
      </c>
      <c r="BE133" s="121" t="s">
        <v>239</v>
      </c>
      <c r="BF133" s="69" t="s">
        <v>19</v>
      </c>
    </row>
    <row r="134" spans="12:58" x14ac:dyDescent="0.25">
      <c r="L134" s="121" t="s">
        <v>242</v>
      </c>
      <c r="M134" s="69" t="s">
        <v>19</v>
      </c>
      <c r="N134" s="69" t="str">
        <f>VLOOKUP($L$4,'[1]POS_EAD_0112 a 3101_CAMP. REG)'!$F$5:$G$231,2,FALSE)</f>
        <v>Humanas</v>
      </c>
      <c r="O134" s="69">
        <f>VLOOKUP(L134,'[1]POS_EAD_0112 a 3101_CAMP. REG)'!$F$5:$H$231,3,FALSE)</f>
        <v>12</v>
      </c>
      <c r="P134" s="68">
        <f>VLOOKUP(L134,'[1]POS_EAD_0112 a 3101_CAMP. REG)'!$F$5:$I$231,4,FALSE)</f>
        <v>19</v>
      </c>
      <c r="Q134" s="73">
        <f>VLOOKUP(L134,'[1]POS_EAD_0112 a 3101_CAMP. REG)'!$F$5:$J$231,5,FALSE)</f>
        <v>184.28091221052631</v>
      </c>
      <c r="R134" s="124">
        <f>VLOOKUP(L134,'[1]POS_EAD_0112 a 3101_CAMP. REG)'!$F$5:$L$231,7,FALSE)</f>
        <v>0.45</v>
      </c>
      <c r="S134" s="73">
        <f>VLOOKUP(L134,'[1]POS_EAD_0112 a 3101_CAMP. REG)'!$F$5:$M$231,8,FALSE)</f>
        <v>91.22</v>
      </c>
      <c r="T134" s="124">
        <f>VLOOKUP(L134,'[1]POS_EAD_0112 a 3101_CAMP. REG)'!$F$5:$P$231,11,FALSE)</f>
        <v>0.5</v>
      </c>
      <c r="U134" s="73">
        <f>VLOOKUP(L134,'[1]POS_EAD_0112 a 3101_CAMP. REG)'!$F$5:$Q$231,12,FALSE)</f>
        <v>82.93</v>
      </c>
      <c r="W134" s="121" t="s">
        <v>242</v>
      </c>
      <c r="X134" s="69" t="s">
        <v>19</v>
      </c>
      <c r="Y134" s="69" t="str">
        <f>VLOOKUP(W134,'[1]POS_EAD_0112 a 3101_CAMP. REG)'!$F$231:$G$461,2,FALSE)</f>
        <v>Negócios</v>
      </c>
      <c r="Z134" s="68">
        <f>VLOOKUP(W134,'[1]POS_EAD_0112 a 3101_CAMP. REG)'!$F$231:$H$461,3,FALSE)</f>
        <v>12</v>
      </c>
      <c r="AA134" s="68">
        <f>VLOOKUP(W134,'[1]POS_EAD_0112 a 3101_CAMP. REG)'!$F$231:$I$461,4,FALSE)</f>
        <v>19</v>
      </c>
      <c r="AB134" s="73">
        <f>VLOOKUP(W134,'[1]POS_EAD_0112 a 3101_CAMP. REG)'!$F$231:$J$461,5,FALSE)</f>
        <v>207.609666</v>
      </c>
      <c r="AC134" s="72">
        <f>VLOOKUP(W134,'[1]POS_EAD_0112 a 3101_CAMP. REG)'!$F$231:$L$461,7,FALSE)</f>
        <v>0.45</v>
      </c>
      <c r="AD134" s="73">
        <f>VLOOKUP(W134,'[1]POS_EAD_0112 a 3101_CAMP. REG)'!$F$231:$M$461,8,FALSE)</f>
        <v>102.77</v>
      </c>
      <c r="AE134" s="72">
        <f>VLOOKUP(W134,'[1]POS_EAD_0112 a 3101_CAMP. REG)'!$F$231:$P$461,11,FALSE)</f>
        <v>0.5</v>
      </c>
      <c r="AF134" s="73">
        <f>VLOOKUP(W134,'[1]POS_EAD_0112 a 3101_CAMP. REG)'!$F$231:$Q$461,12,FALSE)</f>
        <v>93.42</v>
      </c>
      <c r="AH134" s="121" t="s">
        <v>242</v>
      </c>
      <c r="AI134" s="69" t="s">
        <v>19</v>
      </c>
      <c r="AJ134" s="68" t="str">
        <f>VLOOKUP(UNG[[#This Row],[CURSO]],'[1]POS_EAD_0112 a 3101_CAMP. REG)'!$F$463:$G$688,2,FALSE)</f>
        <v>Negócios</v>
      </c>
      <c r="AK134" s="68">
        <f>VLOOKUP(UNG[[#This Row],[CURSO]],'[1]POS_EAD_0112 a 3101_CAMP. REG)'!$F$463:$H$688,3,FALSE)</f>
        <v>12</v>
      </c>
      <c r="AL134" s="68">
        <f>VLOOKUP(UNG[[#This Row],[CURSO]],'[1]POS_EAD_0112 a 3101_CAMP. REG)'!$F$463:$I$688,4,FALSE)</f>
        <v>19</v>
      </c>
      <c r="AM134" s="71">
        <f>VLOOKUP(UNG[[#This Row],[CURSO]],'[1]POS_EAD_0112 a 3101_CAMP. REG)'!$F$463:$J$688,5,FALSE)</f>
        <v>184.28091221052631</v>
      </c>
      <c r="AN134" s="124">
        <f>VLOOKUP(UNG[[#This Row],[CURSO]],'[1]POS_EAD_0112 a 3101_CAMP. REG)'!$F$463:$L$688,7,FALSE)</f>
        <v>0.45</v>
      </c>
      <c r="AO134" s="71">
        <f>VLOOKUP(UNG[[#This Row],[CURSO]],'[1]POS_EAD_0112 a 3101_CAMP. REG)'!$F$463:$M$688,8,FALSE)</f>
        <v>91.22</v>
      </c>
      <c r="AP134" s="124">
        <f>VLOOKUP(UNG[[#This Row],[CURSO]],'[1]POS_EAD_0112 a 3101_CAMP. REG)'!$F$463:$P$688,11,FALSE)</f>
        <v>0.5</v>
      </c>
      <c r="AQ134" s="71">
        <f>VLOOKUP(UNG[[#This Row],[CURSO]],'[1]POS_EAD_0112 a 3101_CAMP. REG)'!$F$463:$Q$688,12,FALSE)</f>
        <v>82.93</v>
      </c>
      <c r="AS134" s="121" t="s">
        <v>242</v>
      </c>
      <c r="AT134" s="69" t="s">
        <v>19</v>
      </c>
      <c r="AU134" s="69" t="str">
        <f>VLOOKUP(UNINASSAU[[#This Row],[CURSO]],'[1]POS_EAD_0112 a 3101_CAMP. REG)'!$F$690:$G$915,2,FALSE)</f>
        <v>Negócios</v>
      </c>
      <c r="AV134" s="69">
        <f>VLOOKUP(UNINASSAU[[#This Row],[CURSO]],'[1]POS_EAD_0112 a 3101_CAMP. REG)'!$F$690:$H$915,3,FALSE)</f>
        <v>12</v>
      </c>
      <c r="AW134" s="69">
        <f>VLOOKUP(UNINASSAU[[#This Row],[CURSO]],'[1]POS_EAD_0112 a 3101_CAMP. REG)'!$F$690:$I$915,4,FALSE)</f>
        <v>19</v>
      </c>
      <c r="AX134" s="73">
        <f>VLOOKUP(UNINASSAU[[#This Row],[CURSO]],'[1]POS_EAD_0112 a 3101_CAMP. REG)'!$F$690:$J$915,5,FALSE)</f>
        <v>184.28091221052631</v>
      </c>
      <c r="AY134" s="72">
        <f>VLOOKUP(UNINASSAU[[#This Row],[CURSO]],'[1]POS_EAD_0112 a 3101_CAMP. REG)'!$F$690:$L$915,7,FALSE)</f>
        <v>0.45</v>
      </c>
      <c r="AZ134" s="73">
        <f>VLOOKUP(UNINASSAU[[#This Row],[CURSO]],'[1]POS_EAD_0112 a 3101_CAMP. REG)'!$F$690:$N$915,8,FALSE)</f>
        <v>91.22</v>
      </c>
      <c r="BA134" s="72">
        <f>VLOOKUP(UNINASSAU[[#This Row],[CURSO]],'[1]POS_EAD_0112 a 3101_CAMP. REG)'!$F$690:$P$915,11,FALSE)</f>
        <v>0.5</v>
      </c>
      <c r="BB134" s="73">
        <f>VLOOKUP(UNINASSAU[[#This Row],[CURSO]],'[1]POS_EAD_0112 a 3101_CAMP. REG)'!$F$690:$Q$915,12,FALSE)</f>
        <v>82.93</v>
      </c>
      <c r="BD134" s="104">
        <v>131</v>
      </c>
      <c r="BE134" s="121" t="s">
        <v>242</v>
      </c>
      <c r="BF134" s="69" t="s">
        <v>19</v>
      </c>
    </row>
    <row r="135" spans="12:58" x14ac:dyDescent="0.25">
      <c r="L135" s="121" t="s">
        <v>245</v>
      </c>
      <c r="M135" s="69" t="s">
        <v>19</v>
      </c>
      <c r="N135" s="69" t="str">
        <f>VLOOKUP($L$4,'[1]POS_EAD_0112 a 3101_CAMP. REG)'!$F$5:$G$231,2,FALSE)</f>
        <v>Humanas</v>
      </c>
      <c r="O135" s="69">
        <f>VLOOKUP(L135,'[1]POS_EAD_0112 a 3101_CAMP. REG)'!$F$5:$H$231,3,FALSE)</f>
        <v>12</v>
      </c>
      <c r="P135" s="68">
        <f>VLOOKUP(L135,'[1]POS_EAD_0112 a 3101_CAMP. REG)'!$F$5:$I$231,4,FALSE)</f>
        <v>19</v>
      </c>
      <c r="Q135" s="73">
        <f>VLOOKUP(L135,'[1]POS_EAD_0112 a 3101_CAMP. REG)'!$F$5:$J$231,5,FALSE)</f>
        <v>184.28091221052631</v>
      </c>
      <c r="R135" s="124">
        <f>VLOOKUP(L135,'[1]POS_EAD_0112 a 3101_CAMP. REG)'!$F$5:$L$231,7,FALSE)</f>
        <v>0.45</v>
      </c>
      <c r="S135" s="73">
        <f>VLOOKUP(L135,'[1]POS_EAD_0112 a 3101_CAMP. REG)'!$F$5:$M$231,8,FALSE)</f>
        <v>91.22</v>
      </c>
      <c r="T135" s="124">
        <f>VLOOKUP(L135,'[1]POS_EAD_0112 a 3101_CAMP. REG)'!$F$5:$P$231,11,FALSE)</f>
        <v>0.5</v>
      </c>
      <c r="U135" s="73">
        <f>VLOOKUP(L135,'[1]POS_EAD_0112 a 3101_CAMP. REG)'!$F$5:$Q$231,12,FALSE)</f>
        <v>82.93</v>
      </c>
      <c r="W135" s="121" t="s">
        <v>245</v>
      </c>
      <c r="X135" s="69" t="s">
        <v>19</v>
      </c>
      <c r="Y135" s="69" t="str">
        <f>VLOOKUP(W135,'[1]POS_EAD_0112 a 3101_CAMP. REG)'!$F$231:$G$461,2,FALSE)</f>
        <v>Negócios</v>
      </c>
      <c r="Z135" s="68">
        <f>VLOOKUP(W135,'[1]POS_EAD_0112 a 3101_CAMP. REG)'!$F$231:$H$461,3,FALSE)</f>
        <v>12</v>
      </c>
      <c r="AA135" s="68">
        <f>VLOOKUP(W135,'[1]POS_EAD_0112 a 3101_CAMP. REG)'!$F$231:$I$461,4,FALSE)</f>
        <v>19</v>
      </c>
      <c r="AB135" s="73">
        <f>VLOOKUP(W135,'[1]POS_EAD_0112 a 3101_CAMP. REG)'!$F$231:$J$461,5,FALSE)</f>
        <v>207.609666</v>
      </c>
      <c r="AC135" s="72">
        <f>VLOOKUP(W135,'[1]POS_EAD_0112 a 3101_CAMP. REG)'!$F$231:$L$461,7,FALSE)</f>
        <v>0.45</v>
      </c>
      <c r="AD135" s="73">
        <f>VLOOKUP(W135,'[1]POS_EAD_0112 a 3101_CAMP. REG)'!$F$231:$M$461,8,FALSE)</f>
        <v>102.77</v>
      </c>
      <c r="AE135" s="72">
        <f>VLOOKUP(W135,'[1]POS_EAD_0112 a 3101_CAMP. REG)'!$F$231:$P$461,11,FALSE)</f>
        <v>0.5</v>
      </c>
      <c r="AF135" s="73">
        <f>VLOOKUP(W135,'[1]POS_EAD_0112 a 3101_CAMP. REG)'!$F$231:$Q$461,12,FALSE)</f>
        <v>93.42</v>
      </c>
      <c r="AH135" s="121" t="s">
        <v>245</v>
      </c>
      <c r="AI135" s="69" t="s">
        <v>19</v>
      </c>
      <c r="AJ135" s="68" t="str">
        <f>VLOOKUP(UNG[[#This Row],[CURSO]],'[1]POS_EAD_0112 a 3101_CAMP. REG)'!$F$463:$G$688,2,FALSE)</f>
        <v>Negócios</v>
      </c>
      <c r="AK135" s="68">
        <f>VLOOKUP(UNG[[#This Row],[CURSO]],'[1]POS_EAD_0112 a 3101_CAMP. REG)'!$F$463:$H$688,3,FALSE)</f>
        <v>12</v>
      </c>
      <c r="AL135" s="68">
        <f>VLOOKUP(UNG[[#This Row],[CURSO]],'[1]POS_EAD_0112 a 3101_CAMP. REG)'!$F$463:$I$688,4,FALSE)</f>
        <v>19</v>
      </c>
      <c r="AM135" s="71">
        <f>VLOOKUP(UNG[[#This Row],[CURSO]],'[1]POS_EAD_0112 a 3101_CAMP. REG)'!$F$463:$J$688,5,FALSE)</f>
        <v>184.28091221052631</v>
      </c>
      <c r="AN135" s="124">
        <f>VLOOKUP(UNG[[#This Row],[CURSO]],'[1]POS_EAD_0112 a 3101_CAMP. REG)'!$F$463:$L$688,7,FALSE)</f>
        <v>0.45</v>
      </c>
      <c r="AO135" s="71">
        <f>VLOOKUP(UNG[[#This Row],[CURSO]],'[1]POS_EAD_0112 a 3101_CAMP. REG)'!$F$463:$M$688,8,FALSE)</f>
        <v>91.22</v>
      </c>
      <c r="AP135" s="124">
        <f>VLOOKUP(UNG[[#This Row],[CURSO]],'[1]POS_EAD_0112 a 3101_CAMP. REG)'!$F$463:$P$688,11,FALSE)</f>
        <v>0.5</v>
      </c>
      <c r="AQ135" s="71">
        <f>VLOOKUP(UNG[[#This Row],[CURSO]],'[1]POS_EAD_0112 a 3101_CAMP. REG)'!$F$463:$Q$688,12,FALSE)</f>
        <v>82.93</v>
      </c>
      <c r="AS135" s="121" t="s">
        <v>245</v>
      </c>
      <c r="AT135" s="69" t="s">
        <v>19</v>
      </c>
      <c r="AU135" s="69" t="str">
        <f>VLOOKUP(UNINASSAU[[#This Row],[CURSO]],'[1]POS_EAD_0112 a 3101_CAMP. REG)'!$F$690:$G$915,2,FALSE)</f>
        <v>Negócios</v>
      </c>
      <c r="AV135" s="69">
        <f>VLOOKUP(UNINASSAU[[#This Row],[CURSO]],'[1]POS_EAD_0112 a 3101_CAMP. REG)'!$F$690:$H$915,3,FALSE)</f>
        <v>12</v>
      </c>
      <c r="AW135" s="69">
        <f>VLOOKUP(UNINASSAU[[#This Row],[CURSO]],'[1]POS_EAD_0112 a 3101_CAMP. REG)'!$F$690:$I$915,4,FALSE)</f>
        <v>19</v>
      </c>
      <c r="AX135" s="73">
        <f>VLOOKUP(UNINASSAU[[#This Row],[CURSO]],'[1]POS_EAD_0112 a 3101_CAMP. REG)'!$F$690:$J$915,5,FALSE)</f>
        <v>184.28091221052631</v>
      </c>
      <c r="AY135" s="72">
        <f>VLOOKUP(UNINASSAU[[#This Row],[CURSO]],'[1]POS_EAD_0112 a 3101_CAMP. REG)'!$F$690:$L$915,7,FALSE)</f>
        <v>0.45</v>
      </c>
      <c r="AZ135" s="73">
        <f>VLOOKUP(UNINASSAU[[#This Row],[CURSO]],'[1]POS_EAD_0112 a 3101_CAMP. REG)'!$F$690:$N$915,8,FALSE)</f>
        <v>91.22</v>
      </c>
      <c r="BA135" s="72">
        <f>VLOOKUP(UNINASSAU[[#This Row],[CURSO]],'[1]POS_EAD_0112 a 3101_CAMP. REG)'!$F$690:$P$915,11,FALSE)</f>
        <v>0.5</v>
      </c>
      <c r="BB135" s="73">
        <f>VLOOKUP(UNINASSAU[[#This Row],[CURSO]],'[1]POS_EAD_0112 a 3101_CAMP. REG)'!$F$690:$Q$915,12,FALSE)</f>
        <v>82.93</v>
      </c>
      <c r="BD135" s="104">
        <v>132</v>
      </c>
      <c r="BE135" s="121" t="s">
        <v>245</v>
      </c>
      <c r="BF135" s="69" t="s">
        <v>19</v>
      </c>
    </row>
    <row r="136" spans="12:58" x14ac:dyDescent="0.25">
      <c r="L136" s="121" t="s">
        <v>216</v>
      </c>
      <c r="M136" s="69" t="s">
        <v>19</v>
      </c>
      <c r="N136" s="69" t="str">
        <f>VLOOKUP($L$4,'[1]POS_EAD_0112 a 3101_CAMP. REG)'!$F$5:$G$231,2,FALSE)</f>
        <v>Humanas</v>
      </c>
      <c r="O136" s="69">
        <f>VLOOKUP(L136,'[1]POS_EAD_0112 a 3101_CAMP. REG)'!$F$5:$H$231,3,FALSE)</f>
        <v>12</v>
      </c>
      <c r="P136" s="68">
        <f>VLOOKUP(L136,'[1]POS_EAD_0112 a 3101_CAMP. REG)'!$F$5:$I$231,4,FALSE)</f>
        <v>19</v>
      </c>
      <c r="Q136" s="73">
        <f>VLOOKUP(L136,'[1]POS_EAD_0112 a 3101_CAMP. REG)'!$F$5:$J$231,5,FALSE)</f>
        <v>184.28091221052631</v>
      </c>
      <c r="R136" s="124">
        <f>VLOOKUP(L136,'[1]POS_EAD_0112 a 3101_CAMP. REG)'!$F$5:$L$231,7,FALSE)</f>
        <v>0.45</v>
      </c>
      <c r="S136" s="73">
        <f>VLOOKUP(L136,'[1]POS_EAD_0112 a 3101_CAMP. REG)'!$F$5:$M$231,8,FALSE)</f>
        <v>91.22</v>
      </c>
      <c r="T136" s="124">
        <f>VLOOKUP(L136,'[1]POS_EAD_0112 a 3101_CAMP. REG)'!$F$5:$P$231,11,FALSE)</f>
        <v>0.5</v>
      </c>
      <c r="U136" s="73">
        <f>VLOOKUP(L136,'[1]POS_EAD_0112 a 3101_CAMP. REG)'!$F$5:$Q$231,12,FALSE)</f>
        <v>82.93</v>
      </c>
      <c r="W136" s="121" t="s">
        <v>216</v>
      </c>
      <c r="X136" s="69" t="s">
        <v>19</v>
      </c>
      <c r="Y136" s="69" t="str">
        <f>VLOOKUP(W136,'[1]POS_EAD_0112 a 3101_CAMP. REG)'!$F$231:$G$461,2,FALSE)</f>
        <v>Humanas</v>
      </c>
      <c r="Z136" s="68">
        <f>VLOOKUP(W136,'[1]POS_EAD_0112 a 3101_CAMP. REG)'!$F$231:$H$461,3,FALSE)</f>
        <v>12</v>
      </c>
      <c r="AA136" s="68">
        <f>VLOOKUP(W136,'[1]POS_EAD_0112 a 3101_CAMP. REG)'!$F$231:$I$461,4,FALSE)</f>
        <v>19</v>
      </c>
      <c r="AB136" s="73">
        <f>VLOOKUP(W136,'[1]POS_EAD_0112 a 3101_CAMP. REG)'!$F$231:$J$461,5,FALSE)</f>
        <v>207.609666</v>
      </c>
      <c r="AC136" s="72">
        <f>VLOOKUP(W136,'[1]POS_EAD_0112 a 3101_CAMP. REG)'!$F$231:$L$461,7,FALSE)</f>
        <v>0.45</v>
      </c>
      <c r="AD136" s="73">
        <f>VLOOKUP(W136,'[1]POS_EAD_0112 a 3101_CAMP. REG)'!$F$231:$M$461,8,FALSE)</f>
        <v>102.77</v>
      </c>
      <c r="AE136" s="72">
        <f>VLOOKUP(W136,'[1]POS_EAD_0112 a 3101_CAMP. REG)'!$F$231:$P$461,11,FALSE)</f>
        <v>0.5</v>
      </c>
      <c r="AF136" s="73">
        <f>VLOOKUP(W136,'[1]POS_EAD_0112 a 3101_CAMP. REG)'!$F$231:$Q$461,12,FALSE)</f>
        <v>93.42</v>
      </c>
      <c r="AH136" s="121" t="s">
        <v>216</v>
      </c>
      <c r="AI136" s="69" t="s">
        <v>19</v>
      </c>
      <c r="AJ136" s="68" t="str">
        <f>VLOOKUP(UNG[[#This Row],[CURSO]],'[1]POS_EAD_0112 a 3101_CAMP. REG)'!$F$463:$G$688,2,FALSE)</f>
        <v>Humanas</v>
      </c>
      <c r="AK136" s="68">
        <f>VLOOKUP(UNG[[#This Row],[CURSO]],'[1]POS_EAD_0112 a 3101_CAMP. REG)'!$F$463:$H$688,3,FALSE)</f>
        <v>12</v>
      </c>
      <c r="AL136" s="68">
        <f>VLOOKUP(UNG[[#This Row],[CURSO]],'[1]POS_EAD_0112 a 3101_CAMP. REG)'!$F$463:$I$688,4,FALSE)</f>
        <v>19</v>
      </c>
      <c r="AM136" s="71">
        <f>VLOOKUP(UNG[[#This Row],[CURSO]],'[1]POS_EAD_0112 a 3101_CAMP. REG)'!$F$463:$J$688,5,FALSE)</f>
        <v>184.28091221052631</v>
      </c>
      <c r="AN136" s="124">
        <f>VLOOKUP(UNG[[#This Row],[CURSO]],'[1]POS_EAD_0112 a 3101_CAMP. REG)'!$F$463:$L$688,7,FALSE)</f>
        <v>0.45</v>
      </c>
      <c r="AO136" s="71">
        <f>VLOOKUP(UNG[[#This Row],[CURSO]],'[1]POS_EAD_0112 a 3101_CAMP. REG)'!$F$463:$M$688,8,FALSE)</f>
        <v>91.22</v>
      </c>
      <c r="AP136" s="124">
        <f>VLOOKUP(UNG[[#This Row],[CURSO]],'[1]POS_EAD_0112 a 3101_CAMP. REG)'!$F$463:$P$688,11,FALSE)</f>
        <v>0.5</v>
      </c>
      <c r="AQ136" s="71">
        <f>VLOOKUP(UNG[[#This Row],[CURSO]],'[1]POS_EAD_0112 a 3101_CAMP. REG)'!$F$463:$Q$688,12,FALSE)</f>
        <v>82.93</v>
      </c>
      <c r="AS136" s="121" t="s">
        <v>216</v>
      </c>
      <c r="AT136" s="69" t="s">
        <v>19</v>
      </c>
      <c r="AU136" s="69" t="str">
        <f>VLOOKUP(UNINASSAU[[#This Row],[CURSO]],'[1]POS_EAD_0112 a 3101_CAMP. REG)'!$F$690:$G$915,2,FALSE)</f>
        <v>Humanas</v>
      </c>
      <c r="AV136" s="69">
        <f>VLOOKUP(UNINASSAU[[#This Row],[CURSO]],'[1]POS_EAD_0112 a 3101_CAMP. REG)'!$F$690:$H$915,3,FALSE)</f>
        <v>12</v>
      </c>
      <c r="AW136" s="69">
        <f>VLOOKUP(UNINASSAU[[#This Row],[CURSO]],'[1]POS_EAD_0112 a 3101_CAMP. REG)'!$F$690:$I$915,4,FALSE)</f>
        <v>19</v>
      </c>
      <c r="AX136" s="73">
        <f>VLOOKUP(UNINASSAU[[#This Row],[CURSO]],'[1]POS_EAD_0112 a 3101_CAMP. REG)'!$F$690:$J$915,5,FALSE)</f>
        <v>184.28091221052631</v>
      </c>
      <c r="AY136" s="72">
        <f>VLOOKUP(UNINASSAU[[#This Row],[CURSO]],'[1]POS_EAD_0112 a 3101_CAMP. REG)'!$F$690:$L$915,7,FALSE)</f>
        <v>0.45</v>
      </c>
      <c r="AZ136" s="73">
        <f>VLOOKUP(UNINASSAU[[#This Row],[CURSO]],'[1]POS_EAD_0112 a 3101_CAMP. REG)'!$F$690:$N$915,8,FALSE)</f>
        <v>91.22</v>
      </c>
      <c r="BA136" s="72">
        <f>VLOOKUP(UNINASSAU[[#This Row],[CURSO]],'[1]POS_EAD_0112 a 3101_CAMP. REG)'!$F$690:$P$915,11,FALSE)</f>
        <v>0.5</v>
      </c>
      <c r="BB136" s="73">
        <f>VLOOKUP(UNINASSAU[[#This Row],[CURSO]],'[1]POS_EAD_0112 a 3101_CAMP. REG)'!$F$690:$Q$915,12,FALSE)</f>
        <v>82.93</v>
      </c>
      <c r="BD136" s="104">
        <v>133</v>
      </c>
      <c r="BE136" s="121" t="s">
        <v>216</v>
      </c>
      <c r="BF136" s="69" t="s">
        <v>19</v>
      </c>
    </row>
    <row r="137" spans="12:58" x14ac:dyDescent="0.25">
      <c r="L137" s="121" t="s">
        <v>232</v>
      </c>
      <c r="M137" s="69" t="s">
        <v>19</v>
      </c>
      <c r="N137" s="69" t="str">
        <f>VLOOKUP($L$4,'[1]POS_EAD_0112 a 3101_CAMP. REG)'!$F$5:$G$231,2,FALSE)</f>
        <v>Humanas</v>
      </c>
      <c r="O137" s="69">
        <f>VLOOKUP(L137,'[1]POS_EAD_0112 a 3101_CAMP. REG)'!$F$5:$H$231,3,FALSE)</f>
        <v>6</v>
      </c>
      <c r="P137" s="68">
        <f>VLOOKUP(L137,'[1]POS_EAD_0112 a 3101_CAMP. REG)'!$F$5:$I$231,4,FALSE)</f>
        <v>13</v>
      </c>
      <c r="Q137" s="73">
        <f>VLOOKUP(L137,'[1]POS_EAD_0112 a 3101_CAMP. REG)'!$F$5:$J$231,5,FALSE)</f>
        <v>269.33202599999998</v>
      </c>
      <c r="R137" s="124">
        <f>VLOOKUP(L137,'[1]POS_EAD_0112 a 3101_CAMP. REG)'!$F$5:$L$231,7,FALSE)</f>
        <v>0.45</v>
      </c>
      <c r="S137" s="73">
        <f>VLOOKUP(L137,'[1]POS_EAD_0112 a 3101_CAMP. REG)'!$F$5:$M$231,8,FALSE)</f>
        <v>133.32</v>
      </c>
      <c r="T137" s="124">
        <f>VLOOKUP(L137,'[1]POS_EAD_0112 a 3101_CAMP. REG)'!$F$5:$P$231,11,FALSE)</f>
        <v>0.5</v>
      </c>
      <c r="U137" s="73">
        <f>VLOOKUP(L137,'[1]POS_EAD_0112 a 3101_CAMP. REG)'!$F$5:$Q$231,12,FALSE)</f>
        <v>121.2</v>
      </c>
      <c r="W137" s="121" t="s">
        <v>232</v>
      </c>
      <c r="X137" s="69" t="s">
        <v>19</v>
      </c>
      <c r="Y137" s="69" t="str">
        <f>VLOOKUP(W137,'[1]POS_EAD_0112 a 3101_CAMP. REG)'!$F$231:$G$461,2,FALSE)</f>
        <v>Humanas</v>
      </c>
      <c r="Z137" s="68">
        <f>VLOOKUP(W137,'[1]POS_EAD_0112 a 3101_CAMP. REG)'!$F$231:$H$461,3,FALSE)</f>
        <v>6</v>
      </c>
      <c r="AA137" s="68">
        <f>VLOOKUP(W137,'[1]POS_EAD_0112 a 3101_CAMP. REG)'!$F$231:$I$461,4,FALSE)</f>
        <v>13</v>
      </c>
      <c r="AB137" s="73">
        <f>VLOOKUP(W137,'[1]POS_EAD_0112 a 3101_CAMP. REG)'!$F$231:$J$461,5,FALSE)</f>
        <v>303.42628200000001</v>
      </c>
      <c r="AC137" s="72">
        <f>VLOOKUP(W137,'[1]POS_EAD_0112 a 3101_CAMP. REG)'!$F$231:$L$461,7,FALSE)</f>
        <v>0.45</v>
      </c>
      <c r="AD137" s="73">
        <f>VLOOKUP(W137,'[1]POS_EAD_0112 a 3101_CAMP. REG)'!$F$231:$M$461,8,FALSE)</f>
        <v>150.19999999999999</v>
      </c>
      <c r="AE137" s="72">
        <f>VLOOKUP(W137,'[1]POS_EAD_0112 a 3101_CAMP. REG)'!$F$231:$P$461,11,FALSE)</f>
        <v>0.5</v>
      </c>
      <c r="AF137" s="73">
        <f>VLOOKUP(W137,'[1]POS_EAD_0112 a 3101_CAMP. REG)'!$F$231:$Q$461,12,FALSE)</f>
        <v>136.54</v>
      </c>
      <c r="AH137" s="121" t="s">
        <v>232</v>
      </c>
      <c r="AI137" s="69" t="s">
        <v>19</v>
      </c>
      <c r="AJ137" s="68" t="str">
        <f>VLOOKUP(UNG[[#This Row],[CURSO]],'[1]POS_EAD_0112 a 3101_CAMP. REG)'!$F$463:$G$688,2,FALSE)</f>
        <v>Humanas</v>
      </c>
      <c r="AK137" s="68">
        <f>VLOOKUP(UNG[[#This Row],[CURSO]],'[1]POS_EAD_0112 a 3101_CAMP. REG)'!$F$463:$H$688,3,FALSE)</f>
        <v>6</v>
      </c>
      <c r="AL137" s="68">
        <f>VLOOKUP(UNG[[#This Row],[CURSO]],'[1]POS_EAD_0112 a 3101_CAMP. REG)'!$F$463:$I$688,4,FALSE)</f>
        <v>13</v>
      </c>
      <c r="AM137" s="71">
        <f>VLOOKUP(UNG[[#This Row],[CURSO]],'[1]POS_EAD_0112 a 3101_CAMP. REG)'!$F$463:$J$688,5,FALSE)</f>
        <v>269.33202599999998</v>
      </c>
      <c r="AN137" s="124">
        <f>VLOOKUP(UNG[[#This Row],[CURSO]],'[1]POS_EAD_0112 a 3101_CAMP. REG)'!$F$463:$L$688,7,FALSE)</f>
        <v>0.45</v>
      </c>
      <c r="AO137" s="71">
        <f>VLOOKUP(UNG[[#This Row],[CURSO]],'[1]POS_EAD_0112 a 3101_CAMP. REG)'!$F$463:$M$688,8,FALSE)</f>
        <v>133.32</v>
      </c>
      <c r="AP137" s="124">
        <f>VLOOKUP(UNG[[#This Row],[CURSO]],'[1]POS_EAD_0112 a 3101_CAMP. REG)'!$F$463:$P$688,11,FALSE)</f>
        <v>0.5</v>
      </c>
      <c r="AQ137" s="71">
        <f>VLOOKUP(UNG[[#This Row],[CURSO]],'[1]POS_EAD_0112 a 3101_CAMP. REG)'!$F$463:$Q$688,12,FALSE)</f>
        <v>121.2</v>
      </c>
      <c r="AS137" s="121" t="s">
        <v>232</v>
      </c>
      <c r="AT137" s="69" t="s">
        <v>19</v>
      </c>
      <c r="AU137" s="69" t="str">
        <f>VLOOKUP(UNINASSAU[[#This Row],[CURSO]],'[1]POS_EAD_0112 a 3101_CAMP. REG)'!$F$690:$G$915,2,FALSE)</f>
        <v>Humanas</v>
      </c>
      <c r="AV137" s="69">
        <f>VLOOKUP(UNINASSAU[[#This Row],[CURSO]],'[1]POS_EAD_0112 a 3101_CAMP. REG)'!$F$690:$H$915,3,FALSE)</f>
        <v>6</v>
      </c>
      <c r="AW137" s="69">
        <f>VLOOKUP(UNINASSAU[[#This Row],[CURSO]],'[1]POS_EAD_0112 a 3101_CAMP. REG)'!$F$690:$I$915,4,FALSE)</f>
        <v>13</v>
      </c>
      <c r="AX137" s="73">
        <f>VLOOKUP(UNINASSAU[[#This Row],[CURSO]],'[1]POS_EAD_0112 a 3101_CAMP. REG)'!$F$690:$J$915,5,FALSE)</f>
        <v>269.33202599999998</v>
      </c>
      <c r="AY137" s="72">
        <f>VLOOKUP(UNINASSAU[[#This Row],[CURSO]],'[1]POS_EAD_0112 a 3101_CAMP. REG)'!$F$690:$L$915,7,FALSE)</f>
        <v>0.45</v>
      </c>
      <c r="AZ137" s="73">
        <f>VLOOKUP(UNINASSAU[[#This Row],[CURSO]],'[1]POS_EAD_0112 a 3101_CAMP. REG)'!$F$690:$N$915,8,FALSE)</f>
        <v>133.32</v>
      </c>
      <c r="BA137" s="72">
        <f>VLOOKUP(UNINASSAU[[#This Row],[CURSO]],'[1]POS_EAD_0112 a 3101_CAMP. REG)'!$F$690:$P$915,11,FALSE)</f>
        <v>0.5</v>
      </c>
      <c r="BB137" s="73">
        <f>VLOOKUP(UNINASSAU[[#This Row],[CURSO]],'[1]POS_EAD_0112 a 3101_CAMP. REG)'!$F$690:$Q$915,12,FALSE)</f>
        <v>121.2</v>
      </c>
      <c r="BD137" s="104">
        <v>134</v>
      </c>
      <c r="BE137" s="121" t="s">
        <v>232</v>
      </c>
      <c r="BF137" s="69" t="s">
        <v>19</v>
      </c>
    </row>
    <row r="138" spans="12:58" x14ac:dyDescent="0.25">
      <c r="L138" s="121" t="s">
        <v>234</v>
      </c>
      <c r="M138" s="69" t="s">
        <v>19</v>
      </c>
      <c r="N138" s="69" t="str">
        <f>VLOOKUP($L$4,'[1]POS_EAD_0112 a 3101_CAMP. REG)'!$F$5:$G$231,2,FALSE)</f>
        <v>Humanas</v>
      </c>
      <c r="O138" s="69">
        <f>VLOOKUP(L138,'[1]POS_EAD_0112 a 3101_CAMP. REG)'!$F$5:$H$231,3,FALSE)</f>
        <v>6</v>
      </c>
      <c r="P138" s="68">
        <f>VLOOKUP(L138,'[1]POS_EAD_0112 a 3101_CAMP. REG)'!$F$5:$I$231,4,FALSE)</f>
        <v>13</v>
      </c>
      <c r="Q138" s="73">
        <f>VLOOKUP(L138,'[1]POS_EAD_0112 a 3101_CAMP. REG)'!$F$5:$J$231,5,FALSE)</f>
        <v>269.33202599999998</v>
      </c>
      <c r="R138" s="124">
        <f>VLOOKUP(L138,'[1]POS_EAD_0112 a 3101_CAMP. REG)'!$F$5:$L$231,7,FALSE)</f>
        <v>0.45</v>
      </c>
      <c r="S138" s="73">
        <f>VLOOKUP(L138,'[1]POS_EAD_0112 a 3101_CAMP. REG)'!$F$5:$M$231,8,FALSE)</f>
        <v>133.32</v>
      </c>
      <c r="T138" s="124">
        <f>VLOOKUP(L138,'[1]POS_EAD_0112 a 3101_CAMP. REG)'!$F$5:$P$231,11,FALSE)</f>
        <v>0.5</v>
      </c>
      <c r="U138" s="73">
        <f>VLOOKUP(L138,'[1]POS_EAD_0112 a 3101_CAMP. REG)'!$F$5:$Q$231,12,FALSE)</f>
        <v>121.2</v>
      </c>
      <c r="W138" s="121" t="s">
        <v>234</v>
      </c>
      <c r="X138" s="69" t="s">
        <v>19</v>
      </c>
      <c r="Y138" s="69" t="str">
        <f>VLOOKUP(W138,'[1]POS_EAD_0112 a 3101_CAMP. REG)'!$F$231:$G$461,2,FALSE)</f>
        <v>Humanas</v>
      </c>
      <c r="Z138" s="68">
        <f>VLOOKUP(W138,'[1]POS_EAD_0112 a 3101_CAMP. REG)'!$F$231:$H$461,3,FALSE)</f>
        <v>6</v>
      </c>
      <c r="AA138" s="68">
        <f>VLOOKUP(W138,'[1]POS_EAD_0112 a 3101_CAMP. REG)'!$F$231:$I$461,4,FALSE)</f>
        <v>13</v>
      </c>
      <c r="AB138" s="73">
        <f>VLOOKUP(W138,'[1]POS_EAD_0112 a 3101_CAMP. REG)'!$F$231:$J$461,5,FALSE)</f>
        <v>303.42628200000001</v>
      </c>
      <c r="AC138" s="72">
        <f>VLOOKUP(W138,'[1]POS_EAD_0112 a 3101_CAMP. REG)'!$F$231:$L$461,7,FALSE)</f>
        <v>0.45</v>
      </c>
      <c r="AD138" s="73">
        <f>VLOOKUP(W138,'[1]POS_EAD_0112 a 3101_CAMP. REG)'!$F$231:$M$461,8,FALSE)</f>
        <v>150.19999999999999</v>
      </c>
      <c r="AE138" s="72">
        <f>VLOOKUP(W138,'[1]POS_EAD_0112 a 3101_CAMP. REG)'!$F$231:$P$461,11,FALSE)</f>
        <v>0.5</v>
      </c>
      <c r="AF138" s="73">
        <f>VLOOKUP(W138,'[1]POS_EAD_0112 a 3101_CAMP. REG)'!$F$231:$Q$461,12,FALSE)</f>
        <v>136.54</v>
      </c>
      <c r="AH138" s="121" t="s">
        <v>234</v>
      </c>
      <c r="AI138" s="69" t="s">
        <v>19</v>
      </c>
      <c r="AJ138" s="68" t="str">
        <f>VLOOKUP(UNG[[#This Row],[CURSO]],'[1]POS_EAD_0112 a 3101_CAMP. REG)'!$F$463:$G$688,2,FALSE)</f>
        <v>Humanas</v>
      </c>
      <c r="AK138" s="68">
        <f>VLOOKUP(UNG[[#This Row],[CURSO]],'[1]POS_EAD_0112 a 3101_CAMP. REG)'!$F$463:$H$688,3,FALSE)</f>
        <v>6</v>
      </c>
      <c r="AL138" s="68">
        <f>VLOOKUP(UNG[[#This Row],[CURSO]],'[1]POS_EAD_0112 a 3101_CAMP. REG)'!$F$463:$I$688,4,FALSE)</f>
        <v>13</v>
      </c>
      <c r="AM138" s="71">
        <f>VLOOKUP(UNG[[#This Row],[CURSO]],'[1]POS_EAD_0112 a 3101_CAMP. REG)'!$F$463:$J$688,5,FALSE)</f>
        <v>269.33202599999998</v>
      </c>
      <c r="AN138" s="124">
        <f>VLOOKUP(UNG[[#This Row],[CURSO]],'[1]POS_EAD_0112 a 3101_CAMP. REG)'!$F$463:$L$688,7,FALSE)</f>
        <v>0.45</v>
      </c>
      <c r="AO138" s="71">
        <f>VLOOKUP(UNG[[#This Row],[CURSO]],'[1]POS_EAD_0112 a 3101_CAMP. REG)'!$F$463:$M$688,8,FALSE)</f>
        <v>133.32</v>
      </c>
      <c r="AP138" s="124">
        <f>VLOOKUP(UNG[[#This Row],[CURSO]],'[1]POS_EAD_0112 a 3101_CAMP. REG)'!$F$463:$P$688,11,FALSE)</f>
        <v>0.5</v>
      </c>
      <c r="AQ138" s="71">
        <f>VLOOKUP(UNG[[#This Row],[CURSO]],'[1]POS_EAD_0112 a 3101_CAMP. REG)'!$F$463:$Q$688,12,FALSE)</f>
        <v>121.2</v>
      </c>
      <c r="AS138" s="121" t="s">
        <v>234</v>
      </c>
      <c r="AT138" s="69" t="s">
        <v>19</v>
      </c>
      <c r="AU138" s="69" t="str">
        <f>VLOOKUP(UNINASSAU[[#This Row],[CURSO]],'[1]POS_EAD_0112 a 3101_CAMP. REG)'!$F$690:$G$915,2,FALSE)</f>
        <v>Humanas</v>
      </c>
      <c r="AV138" s="69">
        <f>VLOOKUP(UNINASSAU[[#This Row],[CURSO]],'[1]POS_EAD_0112 a 3101_CAMP. REG)'!$F$690:$H$915,3,FALSE)</f>
        <v>6</v>
      </c>
      <c r="AW138" s="69">
        <f>VLOOKUP(UNINASSAU[[#This Row],[CURSO]],'[1]POS_EAD_0112 a 3101_CAMP. REG)'!$F$690:$I$915,4,FALSE)</f>
        <v>13</v>
      </c>
      <c r="AX138" s="73">
        <f>VLOOKUP(UNINASSAU[[#This Row],[CURSO]],'[1]POS_EAD_0112 a 3101_CAMP. REG)'!$F$690:$J$915,5,FALSE)</f>
        <v>269.33202599999998</v>
      </c>
      <c r="AY138" s="72">
        <f>VLOOKUP(UNINASSAU[[#This Row],[CURSO]],'[1]POS_EAD_0112 a 3101_CAMP. REG)'!$F$690:$L$915,7,FALSE)</f>
        <v>0.45</v>
      </c>
      <c r="AZ138" s="73">
        <f>VLOOKUP(UNINASSAU[[#This Row],[CURSO]],'[1]POS_EAD_0112 a 3101_CAMP. REG)'!$F$690:$N$915,8,FALSE)</f>
        <v>133.32</v>
      </c>
      <c r="BA138" s="72">
        <f>VLOOKUP(UNINASSAU[[#This Row],[CURSO]],'[1]POS_EAD_0112 a 3101_CAMP. REG)'!$F$690:$P$915,11,FALSE)</f>
        <v>0.5</v>
      </c>
      <c r="BB138" s="73">
        <f>VLOOKUP(UNINASSAU[[#This Row],[CURSO]],'[1]POS_EAD_0112 a 3101_CAMP. REG)'!$F$690:$Q$915,12,FALSE)</f>
        <v>121.2</v>
      </c>
      <c r="BD138" s="104">
        <v>135</v>
      </c>
      <c r="BE138" s="121" t="s">
        <v>234</v>
      </c>
      <c r="BF138" s="69" t="s">
        <v>19</v>
      </c>
    </row>
    <row r="139" spans="12:58" x14ac:dyDescent="0.25">
      <c r="L139" s="121" t="s">
        <v>129</v>
      </c>
      <c r="M139" s="69" t="s">
        <v>19</v>
      </c>
      <c r="N139" s="69" t="str">
        <f>VLOOKUP($L$4,'[1]POS_EAD_0112 a 3101_CAMP. REG)'!$F$5:$G$231,2,FALSE)</f>
        <v>Humanas</v>
      </c>
      <c r="O139" s="69">
        <f>VLOOKUP(L139,'[1]POS_EAD_0112 a 3101_CAMP. REG)'!$F$5:$H$231,3,FALSE)</f>
        <v>6</v>
      </c>
      <c r="P139" s="68">
        <f>VLOOKUP(L139,'[1]POS_EAD_0112 a 3101_CAMP. REG)'!$F$5:$I$231,4,FALSE)</f>
        <v>13</v>
      </c>
      <c r="Q139" s="73">
        <f>VLOOKUP(L139,'[1]POS_EAD_0112 a 3101_CAMP. REG)'!$F$5:$J$231,5,FALSE)</f>
        <v>269.33202599999998</v>
      </c>
      <c r="R139" s="124">
        <f>VLOOKUP(L139,'[1]POS_EAD_0112 a 3101_CAMP. REG)'!$F$5:$L$231,7,FALSE)</f>
        <v>0.45</v>
      </c>
      <c r="S139" s="73">
        <f>VLOOKUP(L139,'[1]POS_EAD_0112 a 3101_CAMP. REG)'!$F$5:$M$231,8,FALSE)</f>
        <v>133.32</v>
      </c>
      <c r="T139" s="124">
        <f>VLOOKUP(L139,'[1]POS_EAD_0112 a 3101_CAMP. REG)'!$F$5:$P$231,11,FALSE)</f>
        <v>0.5</v>
      </c>
      <c r="U139" s="73">
        <f>VLOOKUP(L139,'[1]POS_EAD_0112 a 3101_CAMP. REG)'!$F$5:$Q$231,12,FALSE)</f>
        <v>121.2</v>
      </c>
      <c r="W139" s="121" t="s">
        <v>129</v>
      </c>
      <c r="X139" s="69" t="s">
        <v>19</v>
      </c>
      <c r="Y139" s="69" t="str">
        <f>VLOOKUP(W139,'[1]POS_EAD_0112 a 3101_CAMP. REG)'!$F$231:$G$461,2,FALSE)</f>
        <v>Humanas</v>
      </c>
      <c r="Z139" s="68">
        <f>VLOOKUP(W139,'[1]POS_EAD_0112 a 3101_CAMP. REG)'!$F$231:$H$461,3,FALSE)</f>
        <v>6</v>
      </c>
      <c r="AA139" s="68">
        <f>VLOOKUP(W139,'[1]POS_EAD_0112 a 3101_CAMP. REG)'!$F$231:$I$461,4,FALSE)</f>
        <v>13</v>
      </c>
      <c r="AB139" s="73">
        <f>VLOOKUP(W139,'[1]POS_EAD_0112 a 3101_CAMP. REG)'!$F$231:$J$461,5,FALSE)</f>
        <v>303.42628200000001</v>
      </c>
      <c r="AC139" s="72">
        <f>VLOOKUP(W139,'[1]POS_EAD_0112 a 3101_CAMP. REG)'!$F$231:$L$461,7,FALSE)</f>
        <v>0.45</v>
      </c>
      <c r="AD139" s="73">
        <f>VLOOKUP(W139,'[1]POS_EAD_0112 a 3101_CAMP. REG)'!$F$231:$M$461,8,FALSE)</f>
        <v>150.19999999999999</v>
      </c>
      <c r="AE139" s="72">
        <f>VLOOKUP(W139,'[1]POS_EAD_0112 a 3101_CAMP. REG)'!$F$231:$P$461,11,FALSE)</f>
        <v>0.5</v>
      </c>
      <c r="AF139" s="73">
        <f>VLOOKUP(W139,'[1]POS_EAD_0112 a 3101_CAMP. REG)'!$F$231:$Q$461,12,FALSE)</f>
        <v>136.54</v>
      </c>
      <c r="AH139" s="121" t="s">
        <v>129</v>
      </c>
      <c r="AI139" s="69" t="s">
        <v>19</v>
      </c>
      <c r="AJ139" s="68" t="str">
        <f>VLOOKUP(UNG[[#This Row],[CURSO]],'[1]POS_EAD_0112 a 3101_CAMP. REG)'!$F$463:$G$688,2,FALSE)</f>
        <v>Humanas</v>
      </c>
      <c r="AK139" s="68">
        <f>VLOOKUP(UNG[[#This Row],[CURSO]],'[1]POS_EAD_0112 a 3101_CAMP. REG)'!$F$463:$H$688,3,FALSE)</f>
        <v>6</v>
      </c>
      <c r="AL139" s="68">
        <f>VLOOKUP(UNG[[#This Row],[CURSO]],'[1]POS_EAD_0112 a 3101_CAMP. REG)'!$F$463:$I$688,4,FALSE)</f>
        <v>13</v>
      </c>
      <c r="AM139" s="71">
        <f>VLOOKUP(UNG[[#This Row],[CURSO]],'[1]POS_EAD_0112 a 3101_CAMP. REG)'!$F$463:$J$688,5,FALSE)</f>
        <v>269.33202599999998</v>
      </c>
      <c r="AN139" s="124">
        <f>VLOOKUP(UNG[[#This Row],[CURSO]],'[1]POS_EAD_0112 a 3101_CAMP. REG)'!$F$463:$L$688,7,FALSE)</f>
        <v>0.45</v>
      </c>
      <c r="AO139" s="71">
        <f>VLOOKUP(UNG[[#This Row],[CURSO]],'[1]POS_EAD_0112 a 3101_CAMP. REG)'!$F$463:$M$688,8,FALSE)</f>
        <v>133.32</v>
      </c>
      <c r="AP139" s="124">
        <f>VLOOKUP(UNG[[#This Row],[CURSO]],'[1]POS_EAD_0112 a 3101_CAMP. REG)'!$F$463:$P$688,11,FALSE)</f>
        <v>0.5</v>
      </c>
      <c r="AQ139" s="71">
        <f>VLOOKUP(UNG[[#This Row],[CURSO]],'[1]POS_EAD_0112 a 3101_CAMP. REG)'!$F$463:$Q$688,12,FALSE)</f>
        <v>121.2</v>
      </c>
      <c r="AS139" s="121" t="s">
        <v>129</v>
      </c>
      <c r="AT139" s="69" t="s">
        <v>19</v>
      </c>
      <c r="AU139" s="69" t="str">
        <f>VLOOKUP(UNINASSAU[[#This Row],[CURSO]],'[1]POS_EAD_0112 a 3101_CAMP. REG)'!$F$690:$G$915,2,FALSE)</f>
        <v>Humanas</v>
      </c>
      <c r="AV139" s="69">
        <f>VLOOKUP(UNINASSAU[[#This Row],[CURSO]],'[1]POS_EAD_0112 a 3101_CAMP. REG)'!$F$690:$H$915,3,FALSE)</f>
        <v>6</v>
      </c>
      <c r="AW139" s="69">
        <f>VLOOKUP(UNINASSAU[[#This Row],[CURSO]],'[1]POS_EAD_0112 a 3101_CAMP. REG)'!$F$690:$I$915,4,FALSE)</f>
        <v>13</v>
      </c>
      <c r="AX139" s="73">
        <f>VLOOKUP(UNINASSAU[[#This Row],[CURSO]],'[1]POS_EAD_0112 a 3101_CAMP. REG)'!$F$690:$J$915,5,FALSE)</f>
        <v>269.33202599999998</v>
      </c>
      <c r="AY139" s="72">
        <f>VLOOKUP(UNINASSAU[[#This Row],[CURSO]],'[1]POS_EAD_0112 a 3101_CAMP. REG)'!$F$690:$L$915,7,FALSE)</f>
        <v>0.45</v>
      </c>
      <c r="AZ139" s="73">
        <f>VLOOKUP(UNINASSAU[[#This Row],[CURSO]],'[1]POS_EAD_0112 a 3101_CAMP. REG)'!$F$690:$N$915,8,FALSE)</f>
        <v>133.32</v>
      </c>
      <c r="BA139" s="72">
        <f>VLOOKUP(UNINASSAU[[#This Row],[CURSO]],'[1]POS_EAD_0112 a 3101_CAMP. REG)'!$F$690:$P$915,11,FALSE)</f>
        <v>0.5</v>
      </c>
      <c r="BB139" s="73">
        <f>VLOOKUP(UNINASSAU[[#This Row],[CURSO]],'[1]POS_EAD_0112 a 3101_CAMP. REG)'!$F$690:$Q$915,12,FALSE)</f>
        <v>121.2</v>
      </c>
      <c r="BD139" s="104">
        <v>136</v>
      </c>
      <c r="BE139" s="121" t="s">
        <v>129</v>
      </c>
      <c r="BF139" s="69" t="s">
        <v>19</v>
      </c>
    </row>
    <row r="140" spans="12:58" x14ac:dyDescent="0.25">
      <c r="L140" s="121" t="s">
        <v>179</v>
      </c>
      <c r="M140" s="69" t="s">
        <v>19</v>
      </c>
      <c r="N140" s="69" t="str">
        <f>VLOOKUP($L$4,'[1]POS_EAD_0112 a 3101_CAMP. REG)'!$F$5:$G$231,2,FALSE)</f>
        <v>Humanas</v>
      </c>
      <c r="O140" s="69">
        <f>VLOOKUP(L140,'[1]POS_EAD_0112 a 3101_CAMP. REG)'!$F$5:$H$231,3,FALSE)</f>
        <v>12</v>
      </c>
      <c r="P140" s="68">
        <f>VLOOKUP(L140,'[1]POS_EAD_0112 a 3101_CAMP. REG)'!$F$5:$I$231,4,FALSE)</f>
        <v>19</v>
      </c>
      <c r="Q140" s="73">
        <f>VLOOKUP(L140,'[1]POS_EAD_0112 a 3101_CAMP. REG)'!$F$5:$J$231,5,FALSE)</f>
        <v>184.28091221052631</v>
      </c>
      <c r="R140" s="124">
        <f>VLOOKUP(L140,'[1]POS_EAD_0112 a 3101_CAMP. REG)'!$F$5:$L$231,7,FALSE)</f>
        <v>0.45</v>
      </c>
      <c r="S140" s="73">
        <f>VLOOKUP(L140,'[1]POS_EAD_0112 a 3101_CAMP. REG)'!$F$5:$M$231,8,FALSE)</f>
        <v>91.22</v>
      </c>
      <c r="T140" s="124">
        <f>VLOOKUP(L140,'[1]POS_EAD_0112 a 3101_CAMP. REG)'!$F$5:$P$231,11,FALSE)</f>
        <v>0.5</v>
      </c>
      <c r="U140" s="73">
        <f>VLOOKUP(L140,'[1]POS_EAD_0112 a 3101_CAMP. REG)'!$F$5:$Q$231,12,FALSE)</f>
        <v>82.93</v>
      </c>
      <c r="W140" s="121" t="s">
        <v>179</v>
      </c>
      <c r="X140" s="69" t="s">
        <v>19</v>
      </c>
      <c r="Y140" s="69" t="str">
        <f>VLOOKUP(W140,'[1]POS_EAD_0112 a 3101_CAMP. REG)'!$F$231:$G$461,2,FALSE)</f>
        <v>Humanas</v>
      </c>
      <c r="Z140" s="68">
        <f>VLOOKUP(W140,'[1]POS_EAD_0112 a 3101_CAMP. REG)'!$F$231:$H$461,3,FALSE)</f>
        <v>12</v>
      </c>
      <c r="AA140" s="68">
        <f>VLOOKUP(W140,'[1]POS_EAD_0112 a 3101_CAMP. REG)'!$F$231:$I$461,4,FALSE)</f>
        <v>19</v>
      </c>
      <c r="AB140" s="73">
        <f>VLOOKUP(W140,'[1]POS_EAD_0112 a 3101_CAMP. REG)'!$F$231:$J$461,5,FALSE)</f>
        <v>207.609666</v>
      </c>
      <c r="AC140" s="72">
        <f>VLOOKUP(W140,'[1]POS_EAD_0112 a 3101_CAMP. REG)'!$F$231:$L$461,7,FALSE)</f>
        <v>0.45</v>
      </c>
      <c r="AD140" s="73">
        <f>VLOOKUP(W140,'[1]POS_EAD_0112 a 3101_CAMP. REG)'!$F$231:$M$461,8,FALSE)</f>
        <v>102.77</v>
      </c>
      <c r="AE140" s="72">
        <f>VLOOKUP(W140,'[1]POS_EAD_0112 a 3101_CAMP. REG)'!$F$231:$P$461,11,FALSE)</f>
        <v>0.5</v>
      </c>
      <c r="AF140" s="73">
        <f>VLOOKUP(W140,'[1]POS_EAD_0112 a 3101_CAMP. REG)'!$F$231:$Q$461,12,FALSE)</f>
        <v>93.42</v>
      </c>
      <c r="AH140" s="121" t="s">
        <v>179</v>
      </c>
      <c r="AI140" s="69" t="s">
        <v>19</v>
      </c>
      <c r="AJ140" s="68" t="str">
        <f>VLOOKUP(UNG[[#This Row],[CURSO]],'[1]POS_EAD_0112 a 3101_CAMP. REG)'!$F$463:$G$688,2,FALSE)</f>
        <v>Humanas</v>
      </c>
      <c r="AK140" s="68">
        <f>VLOOKUP(UNG[[#This Row],[CURSO]],'[1]POS_EAD_0112 a 3101_CAMP. REG)'!$F$463:$H$688,3,FALSE)</f>
        <v>12</v>
      </c>
      <c r="AL140" s="68">
        <f>VLOOKUP(UNG[[#This Row],[CURSO]],'[1]POS_EAD_0112 a 3101_CAMP. REG)'!$F$463:$I$688,4,FALSE)</f>
        <v>19</v>
      </c>
      <c r="AM140" s="71">
        <f>VLOOKUP(UNG[[#This Row],[CURSO]],'[1]POS_EAD_0112 a 3101_CAMP. REG)'!$F$463:$J$688,5,FALSE)</f>
        <v>184.28091221052631</v>
      </c>
      <c r="AN140" s="124">
        <f>VLOOKUP(UNG[[#This Row],[CURSO]],'[1]POS_EAD_0112 a 3101_CAMP. REG)'!$F$463:$L$688,7,FALSE)</f>
        <v>0.45</v>
      </c>
      <c r="AO140" s="71">
        <f>VLOOKUP(UNG[[#This Row],[CURSO]],'[1]POS_EAD_0112 a 3101_CAMP. REG)'!$F$463:$M$688,8,FALSE)</f>
        <v>91.22</v>
      </c>
      <c r="AP140" s="124">
        <f>VLOOKUP(UNG[[#This Row],[CURSO]],'[1]POS_EAD_0112 a 3101_CAMP. REG)'!$F$463:$P$688,11,FALSE)</f>
        <v>0.5</v>
      </c>
      <c r="AQ140" s="71">
        <f>VLOOKUP(UNG[[#This Row],[CURSO]],'[1]POS_EAD_0112 a 3101_CAMP. REG)'!$F$463:$Q$688,12,FALSE)</f>
        <v>82.93</v>
      </c>
      <c r="AS140" s="121" t="s">
        <v>179</v>
      </c>
      <c r="AT140" s="69" t="s">
        <v>19</v>
      </c>
      <c r="AU140" s="69" t="str">
        <f>VLOOKUP(UNINASSAU[[#This Row],[CURSO]],'[1]POS_EAD_0112 a 3101_CAMP. REG)'!$F$690:$G$915,2,FALSE)</f>
        <v>Humanas</v>
      </c>
      <c r="AV140" s="69">
        <f>VLOOKUP(UNINASSAU[[#This Row],[CURSO]],'[1]POS_EAD_0112 a 3101_CAMP. REG)'!$F$690:$H$915,3,FALSE)</f>
        <v>12</v>
      </c>
      <c r="AW140" s="69">
        <f>VLOOKUP(UNINASSAU[[#This Row],[CURSO]],'[1]POS_EAD_0112 a 3101_CAMP. REG)'!$F$690:$I$915,4,FALSE)</f>
        <v>19</v>
      </c>
      <c r="AX140" s="73">
        <f>VLOOKUP(UNINASSAU[[#This Row],[CURSO]],'[1]POS_EAD_0112 a 3101_CAMP. REG)'!$F$690:$J$915,5,FALSE)</f>
        <v>184.28091221052631</v>
      </c>
      <c r="AY140" s="72">
        <f>VLOOKUP(UNINASSAU[[#This Row],[CURSO]],'[1]POS_EAD_0112 a 3101_CAMP. REG)'!$F$690:$L$915,7,FALSE)</f>
        <v>0.45</v>
      </c>
      <c r="AZ140" s="73">
        <f>VLOOKUP(UNINASSAU[[#This Row],[CURSO]],'[1]POS_EAD_0112 a 3101_CAMP. REG)'!$F$690:$N$915,8,FALSE)</f>
        <v>91.22</v>
      </c>
      <c r="BA140" s="72">
        <f>VLOOKUP(UNINASSAU[[#This Row],[CURSO]],'[1]POS_EAD_0112 a 3101_CAMP. REG)'!$F$690:$P$915,11,FALSE)</f>
        <v>0.5</v>
      </c>
      <c r="BB140" s="73">
        <f>VLOOKUP(UNINASSAU[[#This Row],[CURSO]],'[1]POS_EAD_0112 a 3101_CAMP. REG)'!$F$690:$Q$915,12,FALSE)</f>
        <v>82.93</v>
      </c>
      <c r="BD140" s="104">
        <v>137</v>
      </c>
      <c r="BE140" s="121" t="s">
        <v>179</v>
      </c>
      <c r="BF140" s="69" t="s">
        <v>19</v>
      </c>
    </row>
    <row r="141" spans="12:58" x14ac:dyDescent="0.25">
      <c r="L141" s="121" t="s">
        <v>225</v>
      </c>
      <c r="M141" s="69" t="s">
        <v>19</v>
      </c>
      <c r="N141" s="69" t="str">
        <f>VLOOKUP($L$4,'[1]POS_EAD_0112 a 3101_CAMP. REG)'!$F$5:$G$231,2,FALSE)</f>
        <v>Humanas</v>
      </c>
      <c r="O141" s="69">
        <f>VLOOKUP(L141,'[1]POS_EAD_0112 a 3101_CAMP. REG)'!$F$5:$H$231,3,FALSE)</f>
        <v>6</v>
      </c>
      <c r="P141" s="68">
        <f>VLOOKUP(L141,'[1]POS_EAD_0112 a 3101_CAMP. REG)'!$F$5:$I$231,4,FALSE)</f>
        <v>13</v>
      </c>
      <c r="Q141" s="73">
        <f>VLOOKUP(L141,'[1]POS_EAD_0112 a 3101_CAMP. REG)'!$F$5:$J$231,5,FALSE)</f>
        <v>269.33202599999998</v>
      </c>
      <c r="R141" s="124">
        <f>VLOOKUP(L141,'[1]POS_EAD_0112 a 3101_CAMP. REG)'!$F$5:$L$231,7,FALSE)</f>
        <v>0.45</v>
      </c>
      <c r="S141" s="73">
        <f>VLOOKUP(L141,'[1]POS_EAD_0112 a 3101_CAMP. REG)'!$F$5:$M$231,8,FALSE)</f>
        <v>133.32</v>
      </c>
      <c r="T141" s="124">
        <f>VLOOKUP(L141,'[1]POS_EAD_0112 a 3101_CAMP. REG)'!$F$5:$P$231,11,FALSE)</f>
        <v>0.5</v>
      </c>
      <c r="U141" s="73">
        <f>VLOOKUP(L141,'[1]POS_EAD_0112 a 3101_CAMP. REG)'!$F$5:$Q$231,12,FALSE)</f>
        <v>121.2</v>
      </c>
      <c r="W141" s="121" t="s">
        <v>225</v>
      </c>
      <c r="X141" s="69" t="s">
        <v>19</v>
      </c>
      <c r="Y141" s="69" t="str">
        <f>VLOOKUP(W141,'[1]POS_EAD_0112 a 3101_CAMP. REG)'!$F$231:$G$461,2,FALSE)</f>
        <v>Humanas</v>
      </c>
      <c r="Z141" s="68">
        <f>VLOOKUP(W141,'[1]POS_EAD_0112 a 3101_CAMP. REG)'!$F$231:$H$461,3,FALSE)</f>
        <v>6</v>
      </c>
      <c r="AA141" s="68">
        <f>VLOOKUP(W141,'[1]POS_EAD_0112 a 3101_CAMP. REG)'!$F$231:$I$461,4,FALSE)</f>
        <v>13</v>
      </c>
      <c r="AB141" s="73">
        <f>VLOOKUP(W141,'[1]POS_EAD_0112 a 3101_CAMP. REG)'!$F$231:$J$461,5,FALSE)</f>
        <v>303.42628200000001</v>
      </c>
      <c r="AC141" s="72">
        <f>VLOOKUP(W141,'[1]POS_EAD_0112 a 3101_CAMP. REG)'!$F$231:$L$461,7,FALSE)</f>
        <v>0.45</v>
      </c>
      <c r="AD141" s="73">
        <f>VLOOKUP(W141,'[1]POS_EAD_0112 a 3101_CAMP. REG)'!$F$231:$M$461,8,FALSE)</f>
        <v>150.19999999999999</v>
      </c>
      <c r="AE141" s="72">
        <f>VLOOKUP(W141,'[1]POS_EAD_0112 a 3101_CAMP. REG)'!$F$231:$P$461,11,FALSE)</f>
        <v>0.5</v>
      </c>
      <c r="AF141" s="73">
        <f>VLOOKUP(W141,'[1]POS_EAD_0112 a 3101_CAMP. REG)'!$F$231:$Q$461,12,FALSE)</f>
        <v>136.54</v>
      </c>
      <c r="AH141" s="121" t="s">
        <v>225</v>
      </c>
      <c r="AI141" s="69" t="s">
        <v>19</v>
      </c>
      <c r="AJ141" s="68" t="str">
        <f>VLOOKUP(UNG[[#This Row],[CURSO]],'[1]POS_EAD_0112 a 3101_CAMP. REG)'!$F$463:$G$688,2,FALSE)</f>
        <v>Humanas</v>
      </c>
      <c r="AK141" s="68">
        <f>VLOOKUP(UNG[[#This Row],[CURSO]],'[1]POS_EAD_0112 a 3101_CAMP. REG)'!$F$463:$H$688,3,FALSE)</f>
        <v>6</v>
      </c>
      <c r="AL141" s="68">
        <f>VLOOKUP(UNG[[#This Row],[CURSO]],'[1]POS_EAD_0112 a 3101_CAMP. REG)'!$F$463:$I$688,4,FALSE)</f>
        <v>13</v>
      </c>
      <c r="AM141" s="71">
        <f>VLOOKUP(UNG[[#This Row],[CURSO]],'[1]POS_EAD_0112 a 3101_CAMP. REG)'!$F$463:$J$688,5,FALSE)</f>
        <v>269.33202599999998</v>
      </c>
      <c r="AN141" s="124">
        <f>VLOOKUP(UNG[[#This Row],[CURSO]],'[1]POS_EAD_0112 a 3101_CAMP. REG)'!$F$463:$L$688,7,FALSE)</f>
        <v>0.45</v>
      </c>
      <c r="AO141" s="71">
        <f>VLOOKUP(UNG[[#This Row],[CURSO]],'[1]POS_EAD_0112 a 3101_CAMP. REG)'!$F$463:$M$688,8,FALSE)</f>
        <v>133.32</v>
      </c>
      <c r="AP141" s="124">
        <f>VLOOKUP(UNG[[#This Row],[CURSO]],'[1]POS_EAD_0112 a 3101_CAMP. REG)'!$F$463:$P$688,11,FALSE)</f>
        <v>0.5</v>
      </c>
      <c r="AQ141" s="71">
        <f>VLOOKUP(UNG[[#This Row],[CURSO]],'[1]POS_EAD_0112 a 3101_CAMP. REG)'!$F$463:$Q$688,12,FALSE)</f>
        <v>121.2</v>
      </c>
      <c r="AS141" s="121" t="s">
        <v>225</v>
      </c>
      <c r="AT141" s="69" t="s">
        <v>19</v>
      </c>
      <c r="AU141" s="69" t="str">
        <f>VLOOKUP(UNINASSAU[[#This Row],[CURSO]],'[1]POS_EAD_0112 a 3101_CAMP. REG)'!$F$690:$G$915,2,FALSE)</f>
        <v>Humanas</v>
      </c>
      <c r="AV141" s="69">
        <f>VLOOKUP(UNINASSAU[[#This Row],[CURSO]],'[1]POS_EAD_0112 a 3101_CAMP. REG)'!$F$690:$H$915,3,FALSE)</f>
        <v>6</v>
      </c>
      <c r="AW141" s="69">
        <f>VLOOKUP(UNINASSAU[[#This Row],[CURSO]],'[1]POS_EAD_0112 a 3101_CAMP. REG)'!$F$690:$I$915,4,FALSE)</f>
        <v>13</v>
      </c>
      <c r="AX141" s="73">
        <f>VLOOKUP(UNINASSAU[[#This Row],[CURSO]],'[1]POS_EAD_0112 a 3101_CAMP. REG)'!$F$690:$J$915,5,FALSE)</f>
        <v>269.33202599999998</v>
      </c>
      <c r="AY141" s="72">
        <f>VLOOKUP(UNINASSAU[[#This Row],[CURSO]],'[1]POS_EAD_0112 a 3101_CAMP. REG)'!$F$690:$L$915,7,FALSE)</f>
        <v>0.45</v>
      </c>
      <c r="AZ141" s="73">
        <f>VLOOKUP(UNINASSAU[[#This Row],[CURSO]],'[1]POS_EAD_0112 a 3101_CAMP. REG)'!$F$690:$N$915,8,FALSE)</f>
        <v>133.32</v>
      </c>
      <c r="BA141" s="72">
        <f>VLOOKUP(UNINASSAU[[#This Row],[CURSO]],'[1]POS_EAD_0112 a 3101_CAMP. REG)'!$F$690:$P$915,11,FALSE)</f>
        <v>0.5</v>
      </c>
      <c r="BB141" s="73">
        <f>VLOOKUP(UNINASSAU[[#This Row],[CURSO]],'[1]POS_EAD_0112 a 3101_CAMP. REG)'!$F$690:$Q$915,12,FALSE)</f>
        <v>121.2</v>
      </c>
      <c r="BD141" s="104">
        <v>138</v>
      </c>
      <c r="BE141" s="121" t="s">
        <v>225</v>
      </c>
      <c r="BF141" s="69" t="s">
        <v>19</v>
      </c>
    </row>
    <row r="142" spans="12:58" x14ac:dyDescent="0.25">
      <c r="L142" s="121" t="s">
        <v>40</v>
      </c>
      <c r="M142" s="69" t="s">
        <v>19</v>
      </c>
      <c r="N142" s="69" t="str">
        <f>VLOOKUP($L$4,'[1]POS_EAD_0112 a 3101_CAMP. REG)'!$F$5:$G$231,2,FALSE)</f>
        <v>Humanas</v>
      </c>
      <c r="O142" s="69">
        <f>VLOOKUP(L142,'[1]POS_EAD_0112 a 3101_CAMP. REG)'!$F$5:$H$231,3,FALSE)</f>
        <v>12</v>
      </c>
      <c r="P142" s="68">
        <f>VLOOKUP(L142,'[1]POS_EAD_0112 a 3101_CAMP. REG)'!$F$5:$I$231,4,FALSE)</f>
        <v>19</v>
      </c>
      <c r="Q142" s="73">
        <f>VLOOKUP(L142,'[1]POS_EAD_0112 a 3101_CAMP. REG)'!$F$5:$J$231,5,FALSE)</f>
        <v>277.58266800000001</v>
      </c>
      <c r="R142" s="124">
        <f>VLOOKUP(L142,'[1]POS_EAD_0112 a 3101_CAMP. REG)'!$F$5:$L$231,7,FALSE)</f>
        <v>0.45</v>
      </c>
      <c r="S142" s="73">
        <f>VLOOKUP(L142,'[1]POS_EAD_0112 a 3101_CAMP. REG)'!$F$5:$M$231,8,FALSE)</f>
        <v>137.4</v>
      </c>
      <c r="T142" s="124">
        <f>VLOOKUP(L142,'[1]POS_EAD_0112 a 3101_CAMP. REG)'!$F$5:$P$231,11,FALSE)</f>
        <v>0.5</v>
      </c>
      <c r="U142" s="73">
        <f>VLOOKUP(L142,'[1]POS_EAD_0112 a 3101_CAMP. REG)'!$F$5:$Q$231,12,FALSE)</f>
        <v>124.91</v>
      </c>
      <c r="W142" s="121" t="s">
        <v>40</v>
      </c>
      <c r="X142" s="69" t="s">
        <v>19</v>
      </c>
      <c r="Y142" s="69" t="str">
        <f>VLOOKUP(W142,'[1]POS_EAD_0112 a 3101_CAMP. REG)'!$F$231:$G$461,2,FALSE)</f>
        <v>Saúde</v>
      </c>
      <c r="Z142" s="68">
        <f>VLOOKUP(W142,'[1]POS_EAD_0112 a 3101_CAMP. REG)'!$F$231:$H$461,3,FALSE)</f>
        <v>12</v>
      </c>
      <c r="AA142" s="68">
        <f>VLOOKUP(W142,'[1]POS_EAD_0112 a 3101_CAMP. REG)'!$F$231:$I$461,4,FALSE)</f>
        <v>19</v>
      </c>
      <c r="AB142" s="73">
        <f>VLOOKUP(W142,'[1]POS_EAD_0112 a 3101_CAMP. REG)'!$F$231:$J$461,5,FALSE)</f>
        <v>300.91749900000002</v>
      </c>
      <c r="AC142" s="72">
        <f>VLOOKUP(W142,'[1]POS_EAD_0112 a 3101_CAMP. REG)'!$F$231:$L$461,7,FALSE)</f>
        <v>0.45</v>
      </c>
      <c r="AD142" s="73">
        <f>VLOOKUP(W142,'[1]POS_EAD_0112 a 3101_CAMP. REG)'!$F$231:$M$461,8,FALSE)</f>
        <v>148.94999999999999</v>
      </c>
      <c r="AE142" s="72">
        <f>VLOOKUP(W142,'[1]POS_EAD_0112 a 3101_CAMP. REG)'!$F$231:$P$461,11,FALSE)</f>
        <v>0.5</v>
      </c>
      <c r="AF142" s="73">
        <f>VLOOKUP(W142,'[1]POS_EAD_0112 a 3101_CAMP. REG)'!$F$231:$Q$461,12,FALSE)</f>
        <v>135.41</v>
      </c>
      <c r="AH142" s="121" t="s">
        <v>40</v>
      </c>
      <c r="AI142" s="69" t="s">
        <v>19</v>
      </c>
      <c r="AJ142" s="68" t="str">
        <f>VLOOKUP(UNG[[#This Row],[CURSO]],'[1]POS_EAD_0112 a 3101_CAMP. REG)'!$F$463:$G$688,2,FALSE)</f>
        <v>Saúde</v>
      </c>
      <c r="AK142" s="68">
        <f>VLOOKUP(UNG[[#This Row],[CURSO]],'[1]POS_EAD_0112 a 3101_CAMP. REG)'!$F$463:$H$688,3,FALSE)</f>
        <v>12</v>
      </c>
      <c r="AL142" s="68">
        <f>VLOOKUP(UNG[[#This Row],[CURSO]],'[1]POS_EAD_0112 a 3101_CAMP. REG)'!$F$463:$I$688,4,FALSE)</f>
        <v>19</v>
      </c>
      <c r="AM142" s="71">
        <f>VLOOKUP(UNG[[#This Row],[CURSO]],'[1]POS_EAD_0112 a 3101_CAMP. REG)'!$F$463:$J$688,5,FALSE)</f>
        <v>277.58266800000001</v>
      </c>
      <c r="AN142" s="124">
        <f>VLOOKUP(UNG[[#This Row],[CURSO]],'[1]POS_EAD_0112 a 3101_CAMP. REG)'!$F$463:$L$688,7,FALSE)</f>
        <v>0.45</v>
      </c>
      <c r="AO142" s="71">
        <f>VLOOKUP(UNG[[#This Row],[CURSO]],'[1]POS_EAD_0112 a 3101_CAMP. REG)'!$F$463:$M$688,8,FALSE)</f>
        <v>137.4</v>
      </c>
      <c r="AP142" s="124">
        <f>VLOOKUP(UNG[[#This Row],[CURSO]],'[1]POS_EAD_0112 a 3101_CAMP. REG)'!$F$463:$P$688,11,FALSE)</f>
        <v>0.5</v>
      </c>
      <c r="AQ142" s="71">
        <f>VLOOKUP(UNG[[#This Row],[CURSO]],'[1]POS_EAD_0112 a 3101_CAMP. REG)'!$F$463:$Q$688,12,FALSE)</f>
        <v>124.91</v>
      </c>
      <c r="AS142" s="121" t="s">
        <v>40</v>
      </c>
      <c r="AT142" s="69" t="s">
        <v>19</v>
      </c>
      <c r="AU142" s="69" t="str">
        <f>VLOOKUP(UNINASSAU[[#This Row],[CURSO]],'[1]POS_EAD_0112 a 3101_CAMP. REG)'!$F$690:$G$915,2,FALSE)</f>
        <v>Saúde</v>
      </c>
      <c r="AV142" s="69">
        <f>VLOOKUP(UNINASSAU[[#This Row],[CURSO]],'[1]POS_EAD_0112 a 3101_CAMP. REG)'!$F$690:$H$915,3,FALSE)</f>
        <v>12</v>
      </c>
      <c r="AW142" s="69">
        <f>VLOOKUP(UNINASSAU[[#This Row],[CURSO]],'[1]POS_EAD_0112 a 3101_CAMP. REG)'!$F$690:$I$915,4,FALSE)</f>
        <v>19</v>
      </c>
      <c r="AX142" s="73">
        <f>VLOOKUP(UNINASSAU[[#This Row],[CURSO]],'[1]POS_EAD_0112 a 3101_CAMP. REG)'!$F$690:$J$915,5,FALSE)</f>
        <v>277.58266800000001</v>
      </c>
      <c r="AY142" s="72">
        <f>VLOOKUP(UNINASSAU[[#This Row],[CURSO]],'[1]POS_EAD_0112 a 3101_CAMP. REG)'!$F$690:$L$915,7,FALSE)</f>
        <v>0.45</v>
      </c>
      <c r="AZ142" s="73">
        <f>VLOOKUP(UNINASSAU[[#This Row],[CURSO]],'[1]POS_EAD_0112 a 3101_CAMP. REG)'!$F$690:$N$915,8,FALSE)</f>
        <v>137.4</v>
      </c>
      <c r="BA142" s="72">
        <f>VLOOKUP(UNINASSAU[[#This Row],[CURSO]],'[1]POS_EAD_0112 a 3101_CAMP. REG)'!$F$690:$P$915,11,FALSE)</f>
        <v>0.5</v>
      </c>
      <c r="BB142" s="73">
        <f>VLOOKUP(UNINASSAU[[#This Row],[CURSO]],'[1]POS_EAD_0112 a 3101_CAMP. REG)'!$F$690:$Q$915,12,FALSE)</f>
        <v>124.91</v>
      </c>
      <c r="BD142" s="104">
        <v>139</v>
      </c>
      <c r="BE142" s="121" t="s">
        <v>40</v>
      </c>
      <c r="BF142" s="69" t="s">
        <v>19</v>
      </c>
    </row>
    <row r="143" spans="12:58" x14ac:dyDescent="0.25">
      <c r="L143" s="121" t="s">
        <v>162</v>
      </c>
      <c r="M143" s="69" t="s">
        <v>19</v>
      </c>
      <c r="N143" s="69" t="str">
        <f>VLOOKUP($L$4,'[1]POS_EAD_0112 a 3101_CAMP. REG)'!$F$5:$G$231,2,FALSE)</f>
        <v>Humanas</v>
      </c>
      <c r="O143" s="69">
        <f>VLOOKUP(L143,'[1]POS_EAD_0112 a 3101_CAMP. REG)'!$F$5:$H$231,3,FALSE)</f>
        <v>12</v>
      </c>
      <c r="P143" s="68">
        <f>VLOOKUP(L143,'[1]POS_EAD_0112 a 3101_CAMP. REG)'!$F$5:$I$231,4,FALSE)</f>
        <v>19</v>
      </c>
      <c r="Q143" s="73">
        <f>VLOOKUP(L143,'[1]POS_EAD_0112 a 3101_CAMP. REG)'!$F$5:$J$231,5,FALSE)</f>
        <v>184.28091221052631</v>
      </c>
      <c r="R143" s="124">
        <f>VLOOKUP(L143,'[1]POS_EAD_0112 a 3101_CAMP. REG)'!$F$5:$L$231,7,FALSE)</f>
        <v>0.45</v>
      </c>
      <c r="S143" s="73">
        <f>VLOOKUP(L143,'[1]POS_EAD_0112 a 3101_CAMP. REG)'!$F$5:$M$231,8,FALSE)</f>
        <v>91.22</v>
      </c>
      <c r="T143" s="124">
        <f>VLOOKUP(L143,'[1]POS_EAD_0112 a 3101_CAMP. REG)'!$F$5:$P$231,11,FALSE)</f>
        <v>0.5</v>
      </c>
      <c r="U143" s="73">
        <f>VLOOKUP(L143,'[1]POS_EAD_0112 a 3101_CAMP. REG)'!$F$5:$Q$231,12,FALSE)</f>
        <v>82.93</v>
      </c>
      <c r="W143" s="121" t="s">
        <v>162</v>
      </c>
      <c r="X143" s="69" t="s">
        <v>19</v>
      </c>
      <c r="Y143" s="69" t="str">
        <f>VLOOKUP(W143,'[1]POS_EAD_0112 a 3101_CAMP. REG)'!$F$231:$G$461,2,FALSE)</f>
        <v>Humanas</v>
      </c>
      <c r="Z143" s="68">
        <f>VLOOKUP(W143,'[1]POS_EAD_0112 a 3101_CAMP. REG)'!$F$231:$H$461,3,FALSE)</f>
        <v>12</v>
      </c>
      <c r="AA143" s="68">
        <f>VLOOKUP(W143,'[1]POS_EAD_0112 a 3101_CAMP. REG)'!$F$231:$I$461,4,FALSE)</f>
        <v>19</v>
      </c>
      <c r="AB143" s="73">
        <f>VLOOKUP(W143,'[1]POS_EAD_0112 a 3101_CAMP. REG)'!$F$231:$J$461,5,FALSE)</f>
        <v>207.609666</v>
      </c>
      <c r="AC143" s="72">
        <f>VLOOKUP(W143,'[1]POS_EAD_0112 a 3101_CAMP. REG)'!$F$231:$L$461,7,FALSE)</f>
        <v>0.45</v>
      </c>
      <c r="AD143" s="73">
        <f>VLOOKUP(W143,'[1]POS_EAD_0112 a 3101_CAMP. REG)'!$F$231:$M$461,8,FALSE)</f>
        <v>102.77</v>
      </c>
      <c r="AE143" s="72">
        <f>VLOOKUP(W143,'[1]POS_EAD_0112 a 3101_CAMP. REG)'!$F$231:$P$461,11,FALSE)</f>
        <v>0.5</v>
      </c>
      <c r="AF143" s="73">
        <f>VLOOKUP(W143,'[1]POS_EAD_0112 a 3101_CAMP. REG)'!$F$231:$Q$461,12,FALSE)</f>
        <v>93.42</v>
      </c>
      <c r="AH143" s="121" t="s">
        <v>162</v>
      </c>
      <c r="AI143" s="69" t="s">
        <v>19</v>
      </c>
      <c r="AJ143" s="68" t="str">
        <f>VLOOKUP(UNG[[#This Row],[CURSO]],'[1]POS_EAD_0112 a 3101_CAMP. REG)'!$F$463:$G$688,2,FALSE)</f>
        <v>Humanas</v>
      </c>
      <c r="AK143" s="68">
        <f>VLOOKUP(UNG[[#This Row],[CURSO]],'[1]POS_EAD_0112 a 3101_CAMP. REG)'!$F$463:$H$688,3,FALSE)</f>
        <v>12</v>
      </c>
      <c r="AL143" s="68">
        <f>VLOOKUP(UNG[[#This Row],[CURSO]],'[1]POS_EAD_0112 a 3101_CAMP. REG)'!$F$463:$I$688,4,FALSE)</f>
        <v>19</v>
      </c>
      <c r="AM143" s="71">
        <f>VLOOKUP(UNG[[#This Row],[CURSO]],'[1]POS_EAD_0112 a 3101_CAMP. REG)'!$F$463:$J$688,5,FALSE)</f>
        <v>184.28091221052631</v>
      </c>
      <c r="AN143" s="124">
        <f>VLOOKUP(UNG[[#This Row],[CURSO]],'[1]POS_EAD_0112 a 3101_CAMP. REG)'!$F$463:$L$688,7,FALSE)</f>
        <v>0.45</v>
      </c>
      <c r="AO143" s="71">
        <f>VLOOKUP(UNG[[#This Row],[CURSO]],'[1]POS_EAD_0112 a 3101_CAMP. REG)'!$F$463:$M$688,8,FALSE)</f>
        <v>91.22</v>
      </c>
      <c r="AP143" s="124">
        <f>VLOOKUP(UNG[[#This Row],[CURSO]],'[1]POS_EAD_0112 a 3101_CAMP. REG)'!$F$463:$P$688,11,FALSE)</f>
        <v>0.5</v>
      </c>
      <c r="AQ143" s="71">
        <f>VLOOKUP(UNG[[#This Row],[CURSO]],'[1]POS_EAD_0112 a 3101_CAMP. REG)'!$F$463:$Q$688,12,FALSE)</f>
        <v>82.93</v>
      </c>
      <c r="AS143" s="121" t="s">
        <v>162</v>
      </c>
      <c r="AT143" s="69" t="s">
        <v>19</v>
      </c>
      <c r="AU143" s="69" t="str">
        <f>VLOOKUP(UNINASSAU[[#This Row],[CURSO]],'[1]POS_EAD_0112 a 3101_CAMP. REG)'!$F$690:$G$915,2,FALSE)</f>
        <v>Humanas</v>
      </c>
      <c r="AV143" s="69">
        <f>VLOOKUP(UNINASSAU[[#This Row],[CURSO]],'[1]POS_EAD_0112 a 3101_CAMP. REG)'!$F$690:$H$915,3,FALSE)</f>
        <v>12</v>
      </c>
      <c r="AW143" s="69">
        <f>VLOOKUP(UNINASSAU[[#This Row],[CURSO]],'[1]POS_EAD_0112 a 3101_CAMP. REG)'!$F$690:$I$915,4,FALSE)</f>
        <v>19</v>
      </c>
      <c r="AX143" s="73">
        <f>VLOOKUP(UNINASSAU[[#This Row],[CURSO]],'[1]POS_EAD_0112 a 3101_CAMP. REG)'!$F$690:$J$915,5,FALSE)</f>
        <v>184.28091221052631</v>
      </c>
      <c r="AY143" s="72">
        <f>VLOOKUP(UNINASSAU[[#This Row],[CURSO]],'[1]POS_EAD_0112 a 3101_CAMP. REG)'!$F$690:$L$915,7,FALSE)</f>
        <v>0.45</v>
      </c>
      <c r="AZ143" s="73">
        <f>VLOOKUP(UNINASSAU[[#This Row],[CURSO]],'[1]POS_EAD_0112 a 3101_CAMP. REG)'!$F$690:$N$915,8,FALSE)</f>
        <v>91.22</v>
      </c>
      <c r="BA143" s="72">
        <f>VLOOKUP(UNINASSAU[[#This Row],[CURSO]],'[1]POS_EAD_0112 a 3101_CAMP. REG)'!$F$690:$P$915,11,FALSE)</f>
        <v>0.5</v>
      </c>
      <c r="BB143" s="73">
        <f>VLOOKUP(UNINASSAU[[#This Row],[CURSO]],'[1]POS_EAD_0112 a 3101_CAMP. REG)'!$F$690:$Q$915,12,FALSE)</f>
        <v>82.93</v>
      </c>
      <c r="BD143" s="104">
        <v>140</v>
      </c>
      <c r="BE143" s="121" t="s">
        <v>162</v>
      </c>
      <c r="BF143" s="69" t="s">
        <v>19</v>
      </c>
    </row>
    <row r="144" spans="12:58" x14ac:dyDescent="0.25">
      <c r="L144" s="121" t="s">
        <v>81</v>
      </c>
      <c r="M144" s="69" t="s">
        <v>19</v>
      </c>
      <c r="N144" s="69" t="str">
        <f>VLOOKUP($L$4,'[1]POS_EAD_0112 a 3101_CAMP. REG)'!$F$5:$G$231,2,FALSE)</f>
        <v>Humanas</v>
      </c>
      <c r="O144" s="69">
        <f>VLOOKUP(L144,'[1]POS_EAD_0112 a 3101_CAMP. REG)'!$F$5:$H$231,3,FALSE)</f>
        <v>12</v>
      </c>
      <c r="P144" s="68">
        <f>VLOOKUP(L144,'[1]POS_EAD_0112 a 3101_CAMP. REG)'!$F$5:$I$231,4,FALSE)</f>
        <v>19</v>
      </c>
      <c r="Q144" s="73">
        <f>VLOOKUP(L144,'[1]POS_EAD_0112 a 3101_CAMP. REG)'!$F$5:$J$231,5,FALSE)</f>
        <v>184.28091221052631</v>
      </c>
      <c r="R144" s="124">
        <f>VLOOKUP(L144,'[1]POS_EAD_0112 a 3101_CAMP. REG)'!$F$5:$L$231,7,FALSE)</f>
        <v>0.45</v>
      </c>
      <c r="S144" s="73">
        <f>VLOOKUP(L144,'[1]POS_EAD_0112 a 3101_CAMP. REG)'!$F$5:$M$231,8,FALSE)</f>
        <v>91.22</v>
      </c>
      <c r="T144" s="124">
        <f>VLOOKUP(L144,'[1]POS_EAD_0112 a 3101_CAMP. REG)'!$F$5:$P$231,11,FALSE)</f>
        <v>0.5</v>
      </c>
      <c r="U144" s="73">
        <f>VLOOKUP(L144,'[1]POS_EAD_0112 a 3101_CAMP. REG)'!$F$5:$Q$231,12,FALSE)</f>
        <v>82.93</v>
      </c>
      <c r="W144" s="121" t="s">
        <v>81</v>
      </c>
      <c r="X144" s="69" t="s">
        <v>19</v>
      </c>
      <c r="Y144" s="69" t="str">
        <f>VLOOKUP(W144,'[1]POS_EAD_0112 a 3101_CAMP. REG)'!$F$231:$G$461,2,FALSE)</f>
        <v>Humanas</v>
      </c>
      <c r="Z144" s="68">
        <f>VLOOKUP(W144,'[1]POS_EAD_0112 a 3101_CAMP. REG)'!$F$231:$H$461,3,FALSE)</f>
        <v>12</v>
      </c>
      <c r="AA144" s="68">
        <f>VLOOKUP(W144,'[1]POS_EAD_0112 a 3101_CAMP. REG)'!$F$231:$I$461,4,FALSE)</f>
        <v>19</v>
      </c>
      <c r="AB144" s="73">
        <f>VLOOKUP(W144,'[1]POS_EAD_0112 a 3101_CAMP. REG)'!$F$231:$J$461,5,FALSE)</f>
        <v>207.609666</v>
      </c>
      <c r="AC144" s="72">
        <f>VLOOKUP(W144,'[1]POS_EAD_0112 a 3101_CAMP. REG)'!$F$231:$L$461,7,FALSE)</f>
        <v>0.45</v>
      </c>
      <c r="AD144" s="73">
        <f>VLOOKUP(W144,'[1]POS_EAD_0112 a 3101_CAMP. REG)'!$F$231:$M$461,8,FALSE)</f>
        <v>102.77</v>
      </c>
      <c r="AE144" s="72">
        <f>VLOOKUP(W144,'[1]POS_EAD_0112 a 3101_CAMP. REG)'!$F$231:$P$461,11,FALSE)</f>
        <v>0.5</v>
      </c>
      <c r="AF144" s="73">
        <f>VLOOKUP(W144,'[1]POS_EAD_0112 a 3101_CAMP. REG)'!$F$231:$Q$461,12,FALSE)</f>
        <v>93.42</v>
      </c>
      <c r="AH144" s="121" t="s">
        <v>81</v>
      </c>
      <c r="AI144" s="69" t="s">
        <v>19</v>
      </c>
      <c r="AJ144" s="68" t="str">
        <f>VLOOKUP(UNG[[#This Row],[CURSO]],'[1]POS_EAD_0112 a 3101_CAMP. REG)'!$F$463:$G$688,2,FALSE)</f>
        <v>Humanas</v>
      </c>
      <c r="AK144" s="68">
        <f>VLOOKUP(UNG[[#This Row],[CURSO]],'[1]POS_EAD_0112 a 3101_CAMP. REG)'!$F$463:$H$688,3,FALSE)</f>
        <v>12</v>
      </c>
      <c r="AL144" s="68">
        <f>VLOOKUP(UNG[[#This Row],[CURSO]],'[1]POS_EAD_0112 a 3101_CAMP. REG)'!$F$463:$I$688,4,FALSE)</f>
        <v>19</v>
      </c>
      <c r="AM144" s="71">
        <f>VLOOKUP(UNG[[#This Row],[CURSO]],'[1]POS_EAD_0112 a 3101_CAMP. REG)'!$F$463:$J$688,5,FALSE)</f>
        <v>184.28091221052631</v>
      </c>
      <c r="AN144" s="124">
        <f>VLOOKUP(UNG[[#This Row],[CURSO]],'[1]POS_EAD_0112 a 3101_CAMP. REG)'!$F$463:$L$688,7,FALSE)</f>
        <v>0.45</v>
      </c>
      <c r="AO144" s="71">
        <f>VLOOKUP(UNG[[#This Row],[CURSO]],'[1]POS_EAD_0112 a 3101_CAMP. REG)'!$F$463:$M$688,8,FALSE)</f>
        <v>91.22</v>
      </c>
      <c r="AP144" s="124">
        <f>VLOOKUP(UNG[[#This Row],[CURSO]],'[1]POS_EAD_0112 a 3101_CAMP. REG)'!$F$463:$P$688,11,FALSE)</f>
        <v>0.5</v>
      </c>
      <c r="AQ144" s="71">
        <f>VLOOKUP(UNG[[#This Row],[CURSO]],'[1]POS_EAD_0112 a 3101_CAMP. REG)'!$F$463:$Q$688,12,FALSE)</f>
        <v>82.93</v>
      </c>
      <c r="AS144" s="121" t="s">
        <v>81</v>
      </c>
      <c r="AT144" s="69" t="s">
        <v>19</v>
      </c>
      <c r="AU144" s="69" t="str">
        <f>VLOOKUP(UNINASSAU[[#This Row],[CURSO]],'[1]POS_EAD_0112 a 3101_CAMP. REG)'!$F$690:$G$915,2,FALSE)</f>
        <v>Humanas</v>
      </c>
      <c r="AV144" s="69">
        <f>VLOOKUP(UNINASSAU[[#This Row],[CURSO]],'[1]POS_EAD_0112 a 3101_CAMP. REG)'!$F$690:$H$915,3,FALSE)</f>
        <v>12</v>
      </c>
      <c r="AW144" s="69">
        <f>VLOOKUP(UNINASSAU[[#This Row],[CURSO]],'[1]POS_EAD_0112 a 3101_CAMP. REG)'!$F$690:$I$915,4,FALSE)</f>
        <v>19</v>
      </c>
      <c r="AX144" s="73">
        <f>VLOOKUP(UNINASSAU[[#This Row],[CURSO]],'[1]POS_EAD_0112 a 3101_CAMP. REG)'!$F$690:$J$915,5,FALSE)</f>
        <v>184.28091221052631</v>
      </c>
      <c r="AY144" s="72">
        <f>VLOOKUP(UNINASSAU[[#This Row],[CURSO]],'[1]POS_EAD_0112 a 3101_CAMP. REG)'!$F$690:$L$915,7,FALSE)</f>
        <v>0.45</v>
      </c>
      <c r="AZ144" s="73">
        <f>VLOOKUP(UNINASSAU[[#This Row],[CURSO]],'[1]POS_EAD_0112 a 3101_CAMP. REG)'!$F$690:$N$915,8,FALSE)</f>
        <v>91.22</v>
      </c>
      <c r="BA144" s="72">
        <f>VLOOKUP(UNINASSAU[[#This Row],[CURSO]],'[1]POS_EAD_0112 a 3101_CAMP. REG)'!$F$690:$P$915,11,FALSE)</f>
        <v>0.5</v>
      </c>
      <c r="BB144" s="73">
        <f>VLOOKUP(UNINASSAU[[#This Row],[CURSO]],'[1]POS_EAD_0112 a 3101_CAMP. REG)'!$F$690:$Q$915,12,FALSE)</f>
        <v>82.93</v>
      </c>
      <c r="BD144" s="104">
        <v>141</v>
      </c>
      <c r="BE144" s="121" t="s">
        <v>81</v>
      </c>
      <c r="BF144" s="69" t="s">
        <v>19</v>
      </c>
    </row>
    <row r="145" spans="12:58" x14ac:dyDescent="0.25">
      <c r="L145" s="121" t="s">
        <v>113</v>
      </c>
      <c r="M145" s="69" t="s">
        <v>19</v>
      </c>
      <c r="N145" s="69" t="str">
        <f>VLOOKUP($L$4,'[1]POS_EAD_0112 a 3101_CAMP. REG)'!$F$5:$G$231,2,FALSE)</f>
        <v>Humanas</v>
      </c>
      <c r="O145" s="69">
        <f>VLOOKUP(L145,'[1]POS_EAD_0112 a 3101_CAMP. REG)'!$F$5:$H$231,3,FALSE)</f>
        <v>12</v>
      </c>
      <c r="P145" s="68">
        <f>VLOOKUP(L145,'[1]POS_EAD_0112 a 3101_CAMP. REG)'!$F$5:$I$231,4,FALSE)</f>
        <v>19</v>
      </c>
      <c r="Q145" s="73">
        <f>VLOOKUP(L145,'[1]POS_EAD_0112 a 3101_CAMP. REG)'!$F$5:$J$231,5,FALSE)</f>
        <v>184.28091221052631</v>
      </c>
      <c r="R145" s="124">
        <f>VLOOKUP(L145,'[1]POS_EAD_0112 a 3101_CAMP. REG)'!$F$5:$L$231,7,FALSE)</f>
        <v>0.45</v>
      </c>
      <c r="S145" s="73">
        <f>VLOOKUP(L145,'[1]POS_EAD_0112 a 3101_CAMP. REG)'!$F$5:$M$231,8,FALSE)</f>
        <v>91.22</v>
      </c>
      <c r="T145" s="124">
        <f>VLOOKUP(L145,'[1]POS_EAD_0112 a 3101_CAMP. REG)'!$F$5:$P$231,11,FALSE)</f>
        <v>0.5</v>
      </c>
      <c r="U145" s="73">
        <f>VLOOKUP(L145,'[1]POS_EAD_0112 a 3101_CAMP. REG)'!$F$5:$Q$231,12,FALSE)</f>
        <v>82.93</v>
      </c>
      <c r="W145" s="121" t="s">
        <v>113</v>
      </c>
      <c r="X145" s="69" t="s">
        <v>19</v>
      </c>
      <c r="Y145" s="69" t="str">
        <f>VLOOKUP(W145,'[1]POS_EAD_0112 a 3101_CAMP. REG)'!$F$231:$G$461,2,FALSE)</f>
        <v>Humanas</v>
      </c>
      <c r="Z145" s="68">
        <f>VLOOKUP(W145,'[1]POS_EAD_0112 a 3101_CAMP. REG)'!$F$231:$H$461,3,FALSE)</f>
        <v>12</v>
      </c>
      <c r="AA145" s="68">
        <f>VLOOKUP(W145,'[1]POS_EAD_0112 a 3101_CAMP. REG)'!$F$231:$I$461,4,FALSE)</f>
        <v>19</v>
      </c>
      <c r="AB145" s="73">
        <f>VLOOKUP(W145,'[1]POS_EAD_0112 a 3101_CAMP. REG)'!$F$231:$J$461,5,FALSE)</f>
        <v>207.609666</v>
      </c>
      <c r="AC145" s="72">
        <f>VLOOKUP(W145,'[1]POS_EAD_0112 a 3101_CAMP. REG)'!$F$231:$L$461,7,FALSE)</f>
        <v>0.45</v>
      </c>
      <c r="AD145" s="73">
        <f>VLOOKUP(W145,'[1]POS_EAD_0112 a 3101_CAMP. REG)'!$F$231:$M$461,8,FALSE)</f>
        <v>102.77</v>
      </c>
      <c r="AE145" s="72">
        <f>VLOOKUP(W145,'[1]POS_EAD_0112 a 3101_CAMP. REG)'!$F$231:$P$461,11,FALSE)</f>
        <v>0.5</v>
      </c>
      <c r="AF145" s="73">
        <f>VLOOKUP(W145,'[1]POS_EAD_0112 a 3101_CAMP. REG)'!$F$231:$Q$461,12,FALSE)</f>
        <v>93.42</v>
      </c>
      <c r="AH145" s="121" t="s">
        <v>113</v>
      </c>
      <c r="AI145" s="69" t="s">
        <v>19</v>
      </c>
      <c r="AJ145" s="68" t="str">
        <f>VLOOKUP(UNG[[#This Row],[CURSO]],'[1]POS_EAD_0112 a 3101_CAMP. REG)'!$F$463:$G$688,2,FALSE)</f>
        <v>Humanas</v>
      </c>
      <c r="AK145" s="68">
        <f>VLOOKUP(UNG[[#This Row],[CURSO]],'[1]POS_EAD_0112 a 3101_CAMP. REG)'!$F$463:$H$688,3,FALSE)</f>
        <v>12</v>
      </c>
      <c r="AL145" s="68">
        <f>VLOOKUP(UNG[[#This Row],[CURSO]],'[1]POS_EAD_0112 a 3101_CAMP. REG)'!$F$463:$I$688,4,FALSE)</f>
        <v>19</v>
      </c>
      <c r="AM145" s="71">
        <f>VLOOKUP(UNG[[#This Row],[CURSO]],'[1]POS_EAD_0112 a 3101_CAMP. REG)'!$F$463:$J$688,5,FALSE)</f>
        <v>184.28091221052631</v>
      </c>
      <c r="AN145" s="124">
        <f>VLOOKUP(UNG[[#This Row],[CURSO]],'[1]POS_EAD_0112 a 3101_CAMP. REG)'!$F$463:$L$688,7,FALSE)</f>
        <v>0.45</v>
      </c>
      <c r="AO145" s="71">
        <f>VLOOKUP(UNG[[#This Row],[CURSO]],'[1]POS_EAD_0112 a 3101_CAMP. REG)'!$F$463:$M$688,8,FALSE)</f>
        <v>91.22</v>
      </c>
      <c r="AP145" s="124">
        <f>VLOOKUP(UNG[[#This Row],[CURSO]],'[1]POS_EAD_0112 a 3101_CAMP. REG)'!$F$463:$P$688,11,FALSE)</f>
        <v>0.5</v>
      </c>
      <c r="AQ145" s="71">
        <f>VLOOKUP(UNG[[#This Row],[CURSO]],'[1]POS_EAD_0112 a 3101_CAMP. REG)'!$F$463:$Q$688,12,FALSE)</f>
        <v>82.93</v>
      </c>
      <c r="AS145" s="121" t="s">
        <v>113</v>
      </c>
      <c r="AT145" s="69" t="s">
        <v>19</v>
      </c>
      <c r="AU145" s="69" t="str">
        <f>VLOOKUP(UNINASSAU[[#This Row],[CURSO]],'[1]POS_EAD_0112 a 3101_CAMP. REG)'!$F$690:$G$915,2,FALSE)</f>
        <v>Humanas</v>
      </c>
      <c r="AV145" s="69">
        <f>VLOOKUP(UNINASSAU[[#This Row],[CURSO]],'[1]POS_EAD_0112 a 3101_CAMP. REG)'!$F$690:$H$915,3,FALSE)</f>
        <v>12</v>
      </c>
      <c r="AW145" s="69">
        <f>VLOOKUP(UNINASSAU[[#This Row],[CURSO]],'[1]POS_EAD_0112 a 3101_CAMP. REG)'!$F$690:$I$915,4,FALSE)</f>
        <v>19</v>
      </c>
      <c r="AX145" s="73">
        <f>VLOOKUP(UNINASSAU[[#This Row],[CURSO]],'[1]POS_EAD_0112 a 3101_CAMP. REG)'!$F$690:$J$915,5,FALSE)</f>
        <v>184.28091221052631</v>
      </c>
      <c r="AY145" s="72">
        <f>VLOOKUP(UNINASSAU[[#This Row],[CURSO]],'[1]POS_EAD_0112 a 3101_CAMP. REG)'!$F$690:$L$915,7,FALSE)</f>
        <v>0.45</v>
      </c>
      <c r="AZ145" s="73">
        <f>VLOOKUP(UNINASSAU[[#This Row],[CURSO]],'[1]POS_EAD_0112 a 3101_CAMP. REG)'!$F$690:$N$915,8,FALSE)</f>
        <v>91.22</v>
      </c>
      <c r="BA145" s="72">
        <f>VLOOKUP(UNINASSAU[[#This Row],[CURSO]],'[1]POS_EAD_0112 a 3101_CAMP. REG)'!$F$690:$P$915,11,FALSE)</f>
        <v>0.5</v>
      </c>
      <c r="BB145" s="73">
        <f>VLOOKUP(UNINASSAU[[#This Row],[CURSO]],'[1]POS_EAD_0112 a 3101_CAMP. REG)'!$F$690:$Q$915,12,FALSE)</f>
        <v>82.93</v>
      </c>
      <c r="BD145" s="104">
        <v>142</v>
      </c>
      <c r="BE145" s="121" t="s">
        <v>113</v>
      </c>
      <c r="BF145" s="69" t="s">
        <v>19</v>
      </c>
    </row>
    <row r="146" spans="12:58" x14ac:dyDescent="0.25">
      <c r="L146" s="121" t="s">
        <v>182</v>
      </c>
      <c r="M146" s="69" t="s">
        <v>19</v>
      </c>
      <c r="N146" s="69" t="str">
        <f>VLOOKUP($L$4,'[1]POS_EAD_0112 a 3101_CAMP. REG)'!$F$5:$G$231,2,FALSE)</f>
        <v>Humanas</v>
      </c>
      <c r="O146" s="69">
        <f>VLOOKUP(L146,'[1]POS_EAD_0112 a 3101_CAMP. REG)'!$F$5:$H$231,3,FALSE)</f>
        <v>12</v>
      </c>
      <c r="P146" s="68">
        <f>VLOOKUP(L146,'[1]POS_EAD_0112 a 3101_CAMP. REG)'!$F$5:$I$231,4,FALSE)</f>
        <v>19</v>
      </c>
      <c r="Q146" s="73">
        <f>VLOOKUP(L146,'[1]POS_EAD_0112 a 3101_CAMP. REG)'!$F$5:$J$231,5,FALSE)</f>
        <v>184.28091221052631</v>
      </c>
      <c r="R146" s="124">
        <f>VLOOKUP(L146,'[1]POS_EAD_0112 a 3101_CAMP. REG)'!$F$5:$L$231,7,FALSE)</f>
        <v>0.45</v>
      </c>
      <c r="S146" s="73">
        <f>VLOOKUP(L146,'[1]POS_EAD_0112 a 3101_CAMP. REG)'!$F$5:$M$231,8,FALSE)</f>
        <v>91.22</v>
      </c>
      <c r="T146" s="124">
        <f>VLOOKUP(L146,'[1]POS_EAD_0112 a 3101_CAMP. REG)'!$F$5:$P$231,11,FALSE)</f>
        <v>0.5</v>
      </c>
      <c r="U146" s="73">
        <f>VLOOKUP(L146,'[1]POS_EAD_0112 a 3101_CAMP. REG)'!$F$5:$Q$231,12,FALSE)</f>
        <v>82.93</v>
      </c>
      <c r="W146" s="121" t="s">
        <v>182</v>
      </c>
      <c r="X146" s="69" t="s">
        <v>19</v>
      </c>
      <c r="Y146" s="69" t="str">
        <f>VLOOKUP(W146,'[1]POS_EAD_0112 a 3101_CAMP. REG)'!$F$231:$G$461,2,FALSE)</f>
        <v>Humanas</v>
      </c>
      <c r="Z146" s="68">
        <f>VLOOKUP(W146,'[1]POS_EAD_0112 a 3101_CAMP. REG)'!$F$231:$H$461,3,FALSE)</f>
        <v>12</v>
      </c>
      <c r="AA146" s="68">
        <f>VLOOKUP(W146,'[1]POS_EAD_0112 a 3101_CAMP. REG)'!$F$231:$I$461,4,FALSE)</f>
        <v>19</v>
      </c>
      <c r="AB146" s="73">
        <f>VLOOKUP(W146,'[1]POS_EAD_0112 a 3101_CAMP. REG)'!$F$231:$J$461,5,FALSE)</f>
        <v>207.609666</v>
      </c>
      <c r="AC146" s="72">
        <f>VLOOKUP(W146,'[1]POS_EAD_0112 a 3101_CAMP. REG)'!$F$231:$L$461,7,FALSE)</f>
        <v>0.45</v>
      </c>
      <c r="AD146" s="73">
        <f>VLOOKUP(W146,'[1]POS_EAD_0112 a 3101_CAMP. REG)'!$F$231:$M$461,8,FALSE)</f>
        <v>102.77</v>
      </c>
      <c r="AE146" s="72">
        <f>VLOOKUP(W146,'[1]POS_EAD_0112 a 3101_CAMP. REG)'!$F$231:$P$461,11,FALSE)</f>
        <v>0.5</v>
      </c>
      <c r="AF146" s="73">
        <f>VLOOKUP(W146,'[1]POS_EAD_0112 a 3101_CAMP. REG)'!$F$231:$Q$461,12,FALSE)</f>
        <v>93.42</v>
      </c>
      <c r="AH146" s="121" t="s">
        <v>182</v>
      </c>
      <c r="AI146" s="69" t="s">
        <v>19</v>
      </c>
      <c r="AJ146" s="68" t="str">
        <f>VLOOKUP(UNG[[#This Row],[CURSO]],'[1]POS_EAD_0112 a 3101_CAMP. REG)'!$F$463:$G$688,2,FALSE)</f>
        <v>Humanas</v>
      </c>
      <c r="AK146" s="68">
        <f>VLOOKUP(UNG[[#This Row],[CURSO]],'[1]POS_EAD_0112 a 3101_CAMP. REG)'!$F$463:$H$688,3,FALSE)</f>
        <v>12</v>
      </c>
      <c r="AL146" s="68">
        <f>VLOOKUP(UNG[[#This Row],[CURSO]],'[1]POS_EAD_0112 a 3101_CAMP. REG)'!$F$463:$I$688,4,FALSE)</f>
        <v>19</v>
      </c>
      <c r="AM146" s="71">
        <f>VLOOKUP(UNG[[#This Row],[CURSO]],'[1]POS_EAD_0112 a 3101_CAMP. REG)'!$F$463:$J$688,5,FALSE)</f>
        <v>184.28091221052631</v>
      </c>
      <c r="AN146" s="124">
        <f>VLOOKUP(UNG[[#This Row],[CURSO]],'[1]POS_EAD_0112 a 3101_CAMP. REG)'!$F$463:$L$688,7,FALSE)</f>
        <v>0.45</v>
      </c>
      <c r="AO146" s="71">
        <f>VLOOKUP(UNG[[#This Row],[CURSO]],'[1]POS_EAD_0112 a 3101_CAMP. REG)'!$F$463:$M$688,8,FALSE)</f>
        <v>91.22</v>
      </c>
      <c r="AP146" s="124">
        <f>VLOOKUP(UNG[[#This Row],[CURSO]],'[1]POS_EAD_0112 a 3101_CAMP. REG)'!$F$463:$P$688,11,FALSE)</f>
        <v>0.5</v>
      </c>
      <c r="AQ146" s="71">
        <f>VLOOKUP(UNG[[#This Row],[CURSO]],'[1]POS_EAD_0112 a 3101_CAMP. REG)'!$F$463:$Q$688,12,FALSE)</f>
        <v>82.93</v>
      </c>
      <c r="AS146" s="121" t="s">
        <v>182</v>
      </c>
      <c r="AT146" s="69" t="s">
        <v>19</v>
      </c>
      <c r="AU146" s="69" t="str">
        <f>VLOOKUP(UNINASSAU[[#This Row],[CURSO]],'[1]POS_EAD_0112 a 3101_CAMP. REG)'!$F$690:$G$915,2,FALSE)</f>
        <v>Humanas</v>
      </c>
      <c r="AV146" s="69">
        <f>VLOOKUP(UNINASSAU[[#This Row],[CURSO]],'[1]POS_EAD_0112 a 3101_CAMP. REG)'!$F$690:$H$915,3,FALSE)</f>
        <v>12</v>
      </c>
      <c r="AW146" s="69">
        <f>VLOOKUP(UNINASSAU[[#This Row],[CURSO]],'[1]POS_EAD_0112 a 3101_CAMP. REG)'!$F$690:$I$915,4,FALSE)</f>
        <v>19</v>
      </c>
      <c r="AX146" s="73">
        <f>VLOOKUP(UNINASSAU[[#This Row],[CURSO]],'[1]POS_EAD_0112 a 3101_CAMP. REG)'!$F$690:$J$915,5,FALSE)</f>
        <v>184.28091221052631</v>
      </c>
      <c r="AY146" s="72">
        <f>VLOOKUP(UNINASSAU[[#This Row],[CURSO]],'[1]POS_EAD_0112 a 3101_CAMP. REG)'!$F$690:$L$915,7,FALSE)</f>
        <v>0.45</v>
      </c>
      <c r="AZ146" s="73">
        <f>VLOOKUP(UNINASSAU[[#This Row],[CURSO]],'[1]POS_EAD_0112 a 3101_CAMP. REG)'!$F$690:$N$915,8,FALSE)</f>
        <v>91.22</v>
      </c>
      <c r="BA146" s="72">
        <f>VLOOKUP(UNINASSAU[[#This Row],[CURSO]],'[1]POS_EAD_0112 a 3101_CAMP. REG)'!$F$690:$P$915,11,FALSE)</f>
        <v>0.5</v>
      </c>
      <c r="BB146" s="73">
        <f>VLOOKUP(UNINASSAU[[#This Row],[CURSO]],'[1]POS_EAD_0112 a 3101_CAMP. REG)'!$F$690:$Q$915,12,FALSE)</f>
        <v>82.93</v>
      </c>
      <c r="BD146" s="104">
        <v>143</v>
      </c>
      <c r="BE146" s="121" t="s">
        <v>182</v>
      </c>
      <c r="BF146" s="69" t="s">
        <v>19</v>
      </c>
    </row>
    <row r="147" spans="12:58" x14ac:dyDescent="0.25">
      <c r="L147" s="121" t="s">
        <v>229</v>
      </c>
      <c r="M147" s="69" t="s">
        <v>19</v>
      </c>
      <c r="N147" s="69" t="str">
        <f>VLOOKUP($L$4,'[1]POS_EAD_0112 a 3101_CAMP. REG)'!$F$5:$G$231,2,FALSE)</f>
        <v>Humanas</v>
      </c>
      <c r="O147" s="69">
        <f>VLOOKUP(L147,'[1]POS_EAD_0112 a 3101_CAMP. REG)'!$F$5:$H$231,3,FALSE)</f>
        <v>12</v>
      </c>
      <c r="P147" s="68">
        <f>VLOOKUP(L147,'[1]POS_EAD_0112 a 3101_CAMP. REG)'!$F$5:$I$231,4,FALSE)</f>
        <v>19</v>
      </c>
      <c r="Q147" s="73">
        <f>VLOOKUP(L147,'[1]POS_EAD_0112 a 3101_CAMP. REG)'!$F$5:$J$231,5,FALSE)</f>
        <v>184.28091221052631</v>
      </c>
      <c r="R147" s="124">
        <f>VLOOKUP(L147,'[1]POS_EAD_0112 a 3101_CAMP. REG)'!$F$5:$L$231,7,FALSE)</f>
        <v>0.45</v>
      </c>
      <c r="S147" s="73">
        <f>VLOOKUP(L147,'[1]POS_EAD_0112 a 3101_CAMP. REG)'!$F$5:$M$231,8,FALSE)</f>
        <v>91.22</v>
      </c>
      <c r="T147" s="124">
        <f>VLOOKUP(L147,'[1]POS_EAD_0112 a 3101_CAMP. REG)'!$F$5:$P$231,11,FALSE)</f>
        <v>0.5</v>
      </c>
      <c r="U147" s="73">
        <f>VLOOKUP(L147,'[1]POS_EAD_0112 a 3101_CAMP. REG)'!$F$5:$Q$231,12,FALSE)</f>
        <v>82.93</v>
      </c>
      <c r="W147" s="121" t="s">
        <v>229</v>
      </c>
      <c r="X147" s="69" t="s">
        <v>19</v>
      </c>
      <c r="Y147" s="69" t="str">
        <f>VLOOKUP(W147,'[1]POS_EAD_0112 a 3101_CAMP. REG)'!$F$231:$G$461,2,FALSE)</f>
        <v>Humanas</v>
      </c>
      <c r="Z147" s="68">
        <f>VLOOKUP(W147,'[1]POS_EAD_0112 a 3101_CAMP. REG)'!$F$231:$H$461,3,FALSE)</f>
        <v>12</v>
      </c>
      <c r="AA147" s="68">
        <f>VLOOKUP(W147,'[1]POS_EAD_0112 a 3101_CAMP. REG)'!$F$231:$I$461,4,FALSE)</f>
        <v>19</v>
      </c>
      <c r="AB147" s="73">
        <f>VLOOKUP(W147,'[1]POS_EAD_0112 a 3101_CAMP. REG)'!$F$231:$J$461,5,FALSE)</f>
        <v>207.609666</v>
      </c>
      <c r="AC147" s="72">
        <f>VLOOKUP(W147,'[1]POS_EAD_0112 a 3101_CAMP. REG)'!$F$231:$L$461,7,FALSE)</f>
        <v>0.45</v>
      </c>
      <c r="AD147" s="73">
        <f>VLOOKUP(W147,'[1]POS_EAD_0112 a 3101_CAMP. REG)'!$F$231:$M$461,8,FALSE)</f>
        <v>102.77</v>
      </c>
      <c r="AE147" s="72">
        <f>VLOOKUP(W147,'[1]POS_EAD_0112 a 3101_CAMP. REG)'!$F$231:$P$461,11,FALSE)</f>
        <v>0.5</v>
      </c>
      <c r="AF147" s="73">
        <f>VLOOKUP(W147,'[1]POS_EAD_0112 a 3101_CAMP. REG)'!$F$231:$Q$461,12,FALSE)</f>
        <v>93.42</v>
      </c>
      <c r="AH147" s="121" t="s">
        <v>229</v>
      </c>
      <c r="AI147" s="69" t="s">
        <v>19</v>
      </c>
      <c r="AJ147" s="68" t="str">
        <f>VLOOKUP(UNG[[#This Row],[CURSO]],'[1]POS_EAD_0112 a 3101_CAMP. REG)'!$F$463:$G$688,2,FALSE)</f>
        <v>Humanas</v>
      </c>
      <c r="AK147" s="68">
        <f>VLOOKUP(UNG[[#This Row],[CURSO]],'[1]POS_EAD_0112 a 3101_CAMP. REG)'!$F$463:$H$688,3,FALSE)</f>
        <v>12</v>
      </c>
      <c r="AL147" s="68">
        <f>VLOOKUP(UNG[[#This Row],[CURSO]],'[1]POS_EAD_0112 a 3101_CAMP. REG)'!$F$463:$I$688,4,FALSE)</f>
        <v>19</v>
      </c>
      <c r="AM147" s="71">
        <f>VLOOKUP(UNG[[#This Row],[CURSO]],'[1]POS_EAD_0112 a 3101_CAMP. REG)'!$F$463:$J$688,5,FALSE)</f>
        <v>184.28091221052631</v>
      </c>
      <c r="AN147" s="124">
        <f>VLOOKUP(UNG[[#This Row],[CURSO]],'[1]POS_EAD_0112 a 3101_CAMP. REG)'!$F$463:$L$688,7,FALSE)</f>
        <v>0.45</v>
      </c>
      <c r="AO147" s="71">
        <f>VLOOKUP(UNG[[#This Row],[CURSO]],'[1]POS_EAD_0112 a 3101_CAMP. REG)'!$F$463:$M$688,8,FALSE)</f>
        <v>91.22</v>
      </c>
      <c r="AP147" s="124">
        <f>VLOOKUP(UNG[[#This Row],[CURSO]],'[1]POS_EAD_0112 a 3101_CAMP. REG)'!$F$463:$P$688,11,FALSE)</f>
        <v>0.5</v>
      </c>
      <c r="AQ147" s="71">
        <f>VLOOKUP(UNG[[#This Row],[CURSO]],'[1]POS_EAD_0112 a 3101_CAMP. REG)'!$F$463:$Q$688,12,FALSE)</f>
        <v>82.93</v>
      </c>
      <c r="AS147" s="121" t="s">
        <v>229</v>
      </c>
      <c r="AT147" s="69" t="s">
        <v>19</v>
      </c>
      <c r="AU147" s="69" t="str">
        <f>VLOOKUP(UNINASSAU[[#This Row],[CURSO]],'[1]POS_EAD_0112 a 3101_CAMP. REG)'!$F$690:$G$915,2,FALSE)</f>
        <v>Humanas</v>
      </c>
      <c r="AV147" s="69">
        <f>VLOOKUP(UNINASSAU[[#This Row],[CURSO]],'[1]POS_EAD_0112 a 3101_CAMP. REG)'!$F$690:$H$915,3,FALSE)</f>
        <v>12</v>
      </c>
      <c r="AW147" s="69">
        <f>VLOOKUP(UNINASSAU[[#This Row],[CURSO]],'[1]POS_EAD_0112 a 3101_CAMP. REG)'!$F$690:$I$915,4,FALSE)</f>
        <v>19</v>
      </c>
      <c r="AX147" s="73">
        <f>VLOOKUP(UNINASSAU[[#This Row],[CURSO]],'[1]POS_EAD_0112 a 3101_CAMP. REG)'!$F$690:$J$915,5,FALSE)</f>
        <v>184.28091221052631</v>
      </c>
      <c r="AY147" s="72">
        <f>VLOOKUP(UNINASSAU[[#This Row],[CURSO]],'[1]POS_EAD_0112 a 3101_CAMP. REG)'!$F$690:$L$915,7,FALSE)</f>
        <v>0.45</v>
      </c>
      <c r="AZ147" s="73">
        <f>VLOOKUP(UNINASSAU[[#This Row],[CURSO]],'[1]POS_EAD_0112 a 3101_CAMP. REG)'!$F$690:$N$915,8,FALSE)</f>
        <v>91.22</v>
      </c>
      <c r="BA147" s="72">
        <f>VLOOKUP(UNINASSAU[[#This Row],[CURSO]],'[1]POS_EAD_0112 a 3101_CAMP. REG)'!$F$690:$P$915,11,FALSE)</f>
        <v>0.5</v>
      </c>
      <c r="BB147" s="73">
        <f>VLOOKUP(UNINASSAU[[#This Row],[CURSO]],'[1]POS_EAD_0112 a 3101_CAMP. REG)'!$F$690:$Q$915,12,FALSE)</f>
        <v>82.93</v>
      </c>
      <c r="BD147" s="104">
        <v>144</v>
      </c>
      <c r="BE147" s="121" t="s">
        <v>229</v>
      </c>
      <c r="BF147" s="69" t="s">
        <v>19</v>
      </c>
    </row>
    <row r="148" spans="12:58" x14ac:dyDescent="0.25">
      <c r="L148" s="121" t="s">
        <v>246</v>
      </c>
      <c r="M148" s="69" t="s">
        <v>19</v>
      </c>
      <c r="N148" s="69" t="str">
        <f>VLOOKUP($L$4,'[1]POS_EAD_0112 a 3101_CAMP. REG)'!$F$5:$G$231,2,FALSE)</f>
        <v>Humanas</v>
      </c>
      <c r="O148" s="69">
        <f>VLOOKUP(L148,'[1]POS_EAD_0112 a 3101_CAMP. REG)'!$F$5:$H$231,3,FALSE)</f>
        <v>12</v>
      </c>
      <c r="P148" s="68">
        <f>VLOOKUP(L148,'[1]POS_EAD_0112 a 3101_CAMP. REG)'!$F$5:$I$231,4,FALSE)</f>
        <v>19</v>
      </c>
      <c r="Q148" s="73">
        <f>VLOOKUP(L148,'[1]POS_EAD_0112 a 3101_CAMP. REG)'!$F$5:$J$231,5,FALSE)</f>
        <v>184.28091221052631</v>
      </c>
      <c r="R148" s="124">
        <f>VLOOKUP(L148,'[1]POS_EAD_0112 a 3101_CAMP. REG)'!$F$5:$L$231,7,FALSE)</f>
        <v>0.45</v>
      </c>
      <c r="S148" s="73">
        <f>VLOOKUP(L148,'[1]POS_EAD_0112 a 3101_CAMP. REG)'!$F$5:$M$231,8,FALSE)</f>
        <v>91.22</v>
      </c>
      <c r="T148" s="124">
        <f>VLOOKUP(L148,'[1]POS_EAD_0112 a 3101_CAMP. REG)'!$F$5:$P$231,11,FALSE)</f>
        <v>0.5</v>
      </c>
      <c r="U148" s="73">
        <f>VLOOKUP(L148,'[1]POS_EAD_0112 a 3101_CAMP. REG)'!$F$5:$Q$231,12,FALSE)</f>
        <v>82.93</v>
      </c>
      <c r="W148" s="121" t="s">
        <v>246</v>
      </c>
      <c r="X148" s="69" t="s">
        <v>19</v>
      </c>
      <c r="Y148" s="69" t="str">
        <f>VLOOKUP(W148,'[1]POS_EAD_0112 a 3101_CAMP. REG)'!$F$231:$G$461,2,FALSE)</f>
        <v>Humanas</v>
      </c>
      <c r="Z148" s="68">
        <f>VLOOKUP(W148,'[1]POS_EAD_0112 a 3101_CAMP. REG)'!$F$231:$H$461,3,FALSE)</f>
        <v>12</v>
      </c>
      <c r="AA148" s="68">
        <f>VLOOKUP(W148,'[1]POS_EAD_0112 a 3101_CAMP. REG)'!$F$231:$I$461,4,FALSE)</f>
        <v>19</v>
      </c>
      <c r="AB148" s="73">
        <f>VLOOKUP(W148,'[1]POS_EAD_0112 a 3101_CAMP. REG)'!$F$231:$J$461,5,FALSE)</f>
        <v>207.609666</v>
      </c>
      <c r="AC148" s="72">
        <f>VLOOKUP(W148,'[1]POS_EAD_0112 a 3101_CAMP. REG)'!$F$231:$L$461,7,FALSE)</f>
        <v>0.45</v>
      </c>
      <c r="AD148" s="73">
        <f>VLOOKUP(W148,'[1]POS_EAD_0112 a 3101_CAMP. REG)'!$F$231:$M$461,8,FALSE)</f>
        <v>102.77</v>
      </c>
      <c r="AE148" s="72">
        <f>VLOOKUP(W148,'[1]POS_EAD_0112 a 3101_CAMP. REG)'!$F$231:$P$461,11,FALSE)</f>
        <v>0.5</v>
      </c>
      <c r="AF148" s="73">
        <f>VLOOKUP(W148,'[1]POS_EAD_0112 a 3101_CAMP. REG)'!$F$231:$Q$461,12,FALSE)</f>
        <v>93.42</v>
      </c>
      <c r="AH148" s="121" t="s">
        <v>246</v>
      </c>
      <c r="AI148" s="69" t="s">
        <v>19</v>
      </c>
      <c r="AJ148" s="68" t="str">
        <f>VLOOKUP(UNG[[#This Row],[CURSO]],'[1]POS_EAD_0112 a 3101_CAMP. REG)'!$F$463:$G$688,2,FALSE)</f>
        <v>Humanas</v>
      </c>
      <c r="AK148" s="68">
        <f>VLOOKUP(UNG[[#This Row],[CURSO]],'[1]POS_EAD_0112 a 3101_CAMP. REG)'!$F$463:$H$688,3,FALSE)</f>
        <v>12</v>
      </c>
      <c r="AL148" s="68">
        <f>VLOOKUP(UNG[[#This Row],[CURSO]],'[1]POS_EAD_0112 a 3101_CAMP. REG)'!$F$463:$I$688,4,FALSE)</f>
        <v>19</v>
      </c>
      <c r="AM148" s="71">
        <f>VLOOKUP(UNG[[#This Row],[CURSO]],'[1]POS_EAD_0112 a 3101_CAMP. REG)'!$F$463:$J$688,5,FALSE)</f>
        <v>184.28091221052631</v>
      </c>
      <c r="AN148" s="124">
        <f>VLOOKUP(UNG[[#This Row],[CURSO]],'[1]POS_EAD_0112 a 3101_CAMP. REG)'!$F$463:$L$688,7,FALSE)</f>
        <v>0.45</v>
      </c>
      <c r="AO148" s="71">
        <f>VLOOKUP(UNG[[#This Row],[CURSO]],'[1]POS_EAD_0112 a 3101_CAMP. REG)'!$F$463:$M$688,8,FALSE)</f>
        <v>91.22</v>
      </c>
      <c r="AP148" s="124">
        <f>VLOOKUP(UNG[[#This Row],[CURSO]],'[1]POS_EAD_0112 a 3101_CAMP. REG)'!$F$463:$P$688,11,FALSE)</f>
        <v>0.5</v>
      </c>
      <c r="AQ148" s="71">
        <f>VLOOKUP(UNG[[#This Row],[CURSO]],'[1]POS_EAD_0112 a 3101_CAMP. REG)'!$F$463:$Q$688,12,FALSE)</f>
        <v>82.93</v>
      </c>
      <c r="AS148" s="121" t="s">
        <v>246</v>
      </c>
      <c r="AT148" s="69" t="s">
        <v>19</v>
      </c>
      <c r="AU148" s="69" t="str">
        <f>VLOOKUP(UNINASSAU[[#This Row],[CURSO]],'[1]POS_EAD_0112 a 3101_CAMP. REG)'!$F$690:$G$915,2,FALSE)</f>
        <v>Humanas</v>
      </c>
      <c r="AV148" s="69">
        <f>VLOOKUP(UNINASSAU[[#This Row],[CURSO]],'[1]POS_EAD_0112 a 3101_CAMP. REG)'!$F$690:$H$915,3,FALSE)</f>
        <v>12</v>
      </c>
      <c r="AW148" s="69">
        <f>VLOOKUP(UNINASSAU[[#This Row],[CURSO]],'[1]POS_EAD_0112 a 3101_CAMP. REG)'!$F$690:$I$915,4,FALSE)</f>
        <v>19</v>
      </c>
      <c r="AX148" s="73">
        <f>VLOOKUP(UNINASSAU[[#This Row],[CURSO]],'[1]POS_EAD_0112 a 3101_CAMP. REG)'!$F$690:$J$915,5,FALSE)</f>
        <v>184.28091221052631</v>
      </c>
      <c r="AY148" s="72">
        <f>VLOOKUP(UNINASSAU[[#This Row],[CURSO]],'[1]POS_EAD_0112 a 3101_CAMP. REG)'!$F$690:$L$915,7,FALSE)</f>
        <v>0.45</v>
      </c>
      <c r="AZ148" s="73">
        <f>VLOOKUP(UNINASSAU[[#This Row],[CURSO]],'[1]POS_EAD_0112 a 3101_CAMP. REG)'!$F$690:$N$915,8,FALSE)</f>
        <v>91.22</v>
      </c>
      <c r="BA148" s="72">
        <f>VLOOKUP(UNINASSAU[[#This Row],[CURSO]],'[1]POS_EAD_0112 a 3101_CAMP. REG)'!$F$690:$P$915,11,FALSE)</f>
        <v>0.5</v>
      </c>
      <c r="BB148" s="73">
        <f>VLOOKUP(UNINASSAU[[#This Row],[CURSO]],'[1]POS_EAD_0112 a 3101_CAMP. REG)'!$F$690:$Q$915,12,FALSE)</f>
        <v>82.93</v>
      </c>
      <c r="BD148" s="104">
        <v>145</v>
      </c>
      <c r="BE148" s="121" t="s">
        <v>246</v>
      </c>
      <c r="BF148" s="69" t="s">
        <v>19</v>
      </c>
    </row>
    <row r="149" spans="12:58" x14ac:dyDescent="0.25">
      <c r="L149" s="121" t="s">
        <v>238</v>
      </c>
      <c r="M149" s="69" t="s">
        <v>19</v>
      </c>
      <c r="N149" s="69" t="str">
        <f>VLOOKUP($L$4,'[1]POS_EAD_0112 a 3101_CAMP. REG)'!$F$5:$G$231,2,FALSE)</f>
        <v>Humanas</v>
      </c>
      <c r="O149" s="69">
        <f>VLOOKUP(L149,'[1]POS_EAD_0112 a 3101_CAMP. REG)'!$F$5:$H$231,3,FALSE)</f>
        <v>12</v>
      </c>
      <c r="P149" s="68">
        <f>VLOOKUP(L149,'[1]POS_EAD_0112 a 3101_CAMP. REG)'!$F$5:$I$231,4,FALSE)</f>
        <v>19</v>
      </c>
      <c r="Q149" s="73">
        <f>VLOOKUP(L149,'[1]POS_EAD_0112 a 3101_CAMP. REG)'!$F$5:$J$231,5,FALSE)</f>
        <v>184.28091221052631</v>
      </c>
      <c r="R149" s="124">
        <f>VLOOKUP(L149,'[1]POS_EAD_0112 a 3101_CAMP. REG)'!$F$5:$L$231,7,FALSE)</f>
        <v>0.45</v>
      </c>
      <c r="S149" s="73">
        <f>VLOOKUP(L149,'[1]POS_EAD_0112 a 3101_CAMP. REG)'!$F$5:$M$231,8,FALSE)</f>
        <v>91.22</v>
      </c>
      <c r="T149" s="124">
        <f>VLOOKUP(L149,'[1]POS_EAD_0112 a 3101_CAMP. REG)'!$F$5:$P$231,11,FALSE)</f>
        <v>0.5</v>
      </c>
      <c r="U149" s="73">
        <f>VLOOKUP(L149,'[1]POS_EAD_0112 a 3101_CAMP. REG)'!$F$5:$Q$231,12,FALSE)</f>
        <v>82.93</v>
      </c>
      <c r="W149" s="121" t="s">
        <v>238</v>
      </c>
      <c r="X149" s="69" t="s">
        <v>19</v>
      </c>
      <c r="Y149" s="69" t="str">
        <f>VLOOKUP(W149,'[1]POS_EAD_0112 a 3101_CAMP. REG)'!$F$231:$G$461,2,FALSE)</f>
        <v>Humanas</v>
      </c>
      <c r="Z149" s="68">
        <f>VLOOKUP(W149,'[1]POS_EAD_0112 a 3101_CAMP. REG)'!$F$231:$H$461,3,FALSE)</f>
        <v>12</v>
      </c>
      <c r="AA149" s="68">
        <f>VLOOKUP(W149,'[1]POS_EAD_0112 a 3101_CAMP. REG)'!$F$231:$I$461,4,FALSE)</f>
        <v>19</v>
      </c>
      <c r="AB149" s="73">
        <f>VLOOKUP(W149,'[1]POS_EAD_0112 a 3101_CAMP. REG)'!$F$231:$J$461,5,FALSE)</f>
        <v>207.609666</v>
      </c>
      <c r="AC149" s="72">
        <f>VLOOKUP(W149,'[1]POS_EAD_0112 a 3101_CAMP. REG)'!$F$231:$L$461,7,FALSE)</f>
        <v>0.45</v>
      </c>
      <c r="AD149" s="73">
        <f>VLOOKUP(W149,'[1]POS_EAD_0112 a 3101_CAMP. REG)'!$F$231:$M$461,8,FALSE)</f>
        <v>102.77</v>
      </c>
      <c r="AE149" s="72">
        <f>VLOOKUP(W149,'[1]POS_EAD_0112 a 3101_CAMP. REG)'!$F$231:$P$461,11,FALSE)</f>
        <v>0.5</v>
      </c>
      <c r="AF149" s="73">
        <f>VLOOKUP(W149,'[1]POS_EAD_0112 a 3101_CAMP. REG)'!$F$231:$Q$461,12,FALSE)</f>
        <v>93.42</v>
      </c>
      <c r="AH149" s="121" t="s">
        <v>238</v>
      </c>
      <c r="AI149" s="69" t="s">
        <v>19</v>
      </c>
      <c r="AJ149" s="68" t="str">
        <f>VLOOKUP(UNG[[#This Row],[CURSO]],'[1]POS_EAD_0112 a 3101_CAMP. REG)'!$F$463:$G$688,2,FALSE)</f>
        <v>Humanas</v>
      </c>
      <c r="AK149" s="68">
        <f>VLOOKUP(UNG[[#This Row],[CURSO]],'[1]POS_EAD_0112 a 3101_CAMP. REG)'!$F$463:$H$688,3,FALSE)</f>
        <v>12</v>
      </c>
      <c r="AL149" s="68">
        <f>VLOOKUP(UNG[[#This Row],[CURSO]],'[1]POS_EAD_0112 a 3101_CAMP. REG)'!$F$463:$I$688,4,FALSE)</f>
        <v>19</v>
      </c>
      <c r="AM149" s="71">
        <f>VLOOKUP(UNG[[#This Row],[CURSO]],'[1]POS_EAD_0112 a 3101_CAMP. REG)'!$F$463:$J$688,5,FALSE)</f>
        <v>184.28091221052631</v>
      </c>
      <c r="AN149" s="124">
        <f>VLOOKUP(UNG[[#This Row],[CURSO]],'[1]POS_EAD_0112 a 3101_CAMP. REG)'!$F$463:$L$688,7,FALSE)</f>
        <v>0.45</v>
      </c>
      <c r="AO149" s="71">
        <f>VLOOKUP(UNG[[#This Row],[CURSO]],'[1]POS_EAD_0112 a 3101_CAMP. REG)'!$F$463:$M$688,8,FALSE)</f>
        <v>91.22</v>
      </c>
      <c r="AP149" s="124">
        <f>VLOOKUP(UNG[[#This Row],[CURSO]],'[1]POS_EAD_0112 a 3101_CAMP. REG)'!$F$463:$P$688,11,FALSE)</f>
        <v>0.5</v>
      </c>
      <c r="AQ149" s="71">
        <f>VLOOKUP(UNG[[#This Row],[CURSO]],'[1]POS_EAD_0112 a 3101_CAMP. REG)'!$F$463:$Q$688,12,FALSE)</f>
        <v>82.93</v>
      </c>
      <c r="AS149" s="121" t="s">
        <v>238</v>
      </c>
      <c r="AT149" s="69" t="s">
        <v>19</v>
      </c>
      <c r="AU149" s="69" t="str">
        <f>VLOOKUP(UNINASSAU[[#This Row],[CURSO]],'[1]POS_EAD_0112 a 3101_CAMP. REG)'!$F$690:$G$915,2,FALSE)</f>
        <v>Humanas</v>
      </c>
      <c r="AV149" s="69">
        <f>VLOOKUP(UNINASSAU[[#This Row],[CURSO]],'[1]POS_EAD_0112 a 3101_CAMP. REG)'!$F$690:$H$915,3,FALSE)</f>
        <v>12</v>
      </c>
      <c r="AW149" s="69">
        <f>VLOOKUP(UNINASSAU[[#This Row],[CURSO]],'[1]POS_EAD_0112 a 3101_CAMP. REG)'!$F$690:$I$915,4,FALSE)</f>
        <v>19</v>
      </c>
      <c r="AX149" s="73">
        <f>VLOOKUP(UNINASSAU[[#This Row],[CURSO]],'[1]POS_EAD_0112 a 3101_CAMP. REG)'!$F$690:$J$915,5,FALSE)</f>
        <v>184.28091221052631</v>
      </c>
      <c r="AY149" s="72">
        <f>VLOOKUP(UNINASSAU[[#This Row],[CURSO]],'[1]POS_EAD_0112 a 3101_CAMP. REG)'!$F$690:$L$915,7,FALSE)</f>
        <v>0.45</v>
      </c>
      <c r="AZ149" s="73">
        <f>VLOOKUP(UNINASSAU[[#This Row],[CURSO]],'[1]POS_EAD_0112 a 3101_CAMP. REG)'!$F$690:$N$915,8,FALSE)</f>
        <v>91.22</v>
      </c>
      <c r="BA149" s="72">
        <f>VLOOKUP(UNINASSAU[[#This Row],[CURSO]],'[1]POS_EAD_0112 a 3101_CAMP. REG)'!$F$690:$P$915,11,FALSE)</f>
        <v>0.5</v>
      </c>
      <c r="BB149" s="73">
        <f>VLOOKUP(UNINASSAU[[#This Row],[CURSO]],'[1]POS_EAD_0112 a 3101_CAMP. REG)'!$F$690:$Q$915,12,FALSE)</f>
        <v>82.93</v>
      </c>
      <c r="BD149" s="104">
        <v>146</v>
      </c>
      <c r="BE149" s="121" t="s">
        <v>238</v>
      </c>
      <c r="BF149" s="69" t="s">
        <v>19</v>
      </c>
    </row>
    <row r="150" spans="12:58" x14ac:dyDescent="0.25">
      <c r="L150" s="121" t="s">
        <v>221</v>
      </c>
      <c r="M150" s="69" t="s">
        <v>19</v>
      </c>
      <c r="N150" s="69" t="str">
        <f>VLOOKUP($L$4,'[1]POS_EAD_0112 a 3101_CAMP. REG)'!$F$5:$G$231,2,FALSE)</f>
        <v>Humanas</v>
      </c>
      <c r="O150" s="69">
        <f>VLOOKUP(L150,'[1]POS_EAD_0112 a 3101_CAMP. REG)'!$F$5:$H$231,3,FALSE)</f>
        <v>6</v>
      </c>
      <c r="P150" s="68">
        <f>VLOOKUP(L150,'[1]POS_EAD_0112 a 3101_CAMP. REG)'!$F$5:$I$231,4,FALSE)</f>
        <v>13</v>
      </c>
      <c r="Q150" s="73">
        <f>VLOOKUP(L150,'[1]POS_EAD_0112 a 3101_CAMP. REG)'!$F$5:$J$231,5,FALSE)</f>
        <v>269.33202599999998</v>
      </c>
      <c r="R150" s="124">
        <f>VLOOKUP(L150,'[1]POS_EAD_0112 a 3101_CAMP. REG)'!$F$5:$L$231,7,FALSE)</f>
        <v>0.45</v>
      </c>
      <c r="S150" s="73">
        <f>VLOOKUP(L150,'[1]POS_EAD_0112 a 3101_CAMP. REG)'!$F$5:$M$231,8,FALSE)</f>
        <v>133.32</v>
      </c>
      <c r="T150" s="124">
        <f>VLOOKUP(L150,'[1]POS_EAD_0112 a 3101_CAMP. REG)'!$F$5:$P$231,11,FALSE)</f>
        <v>0.5</v>
      </c>
      <c r="U150" s="73">
        <f>VLOOKUP(L150,'[1]POS_EAD_0112 a 3101_CAMP. REG)'!$F$5:$Q$231,12,FALSE)</f>
        <v>121.2</v>
      </c>
      <c r="W150" s="121" t="s">
        <v>221</v>
      </c>
      <c r="X150" s="69" t="s">
        <v>19</v>
      </c>
      <c r="Y150" s="69" t="str">
        <f>VLOOKUP(W150,'[1]POS_EAD_0112 a 3101_CAMP. REG)'!$F$231:$G$461,2,FALSE)</f>
        <v>Humanas</v>
      </c>
      <c r="Z150" s="68">
        <f>VLOOKUP(W150,'[1]POS_EAD_0112 a 3101_CAMP. REG)'!$F$231:$H$461,3,FALSE)</f>
        <v>6</v>
      </c>
      <c r="AA150" s="68">
        <f>VLOOKUP(W150,'[1]POS_EAD_0112 a 3101_CAMP. REG)'!$F$231:$I$461,4,FALSE)</f>
        <v>13</v>
      </c>
      <c r="AB150" s="73">
        <f>VLOOKUP(W150,'[1]POS_EAD_0112 a 3101_CAMP. REG)'!$F$231:$J$461,5,FALSE)</f>
        <v>303.42628200000001</v>
      </c>
      <c r="AC150" s="72">
        <f>VLOOKUP(W150,'[1]POS_EAD_0112 a 3101_CAMP. REG)'!$F$231:$L$461,7,FALSE)</f>
        <v>0.45</v>
      </c>
      <c r="AD150" s="73">
        <f>VLOOKUP(W150,'[1]POS_EAD_0112 a 3101_CAMP. REG)'!$F$231:$M$461,8,FALSE)</f>
        <v>150.19999999999999</v>
      </c>
      <c r="AE150" s="72">
        <f>VLOOKUP(W150,'[1]POS_EAD_0112 a 3101_CAMP. REG)'!$F$231:$P$461,11,FALSE)</f>
        <v>0.5</v>
      </c>
      <c r="AF150" s="73">
        <f>VLOOKUP(W150,'[1]POS_EAD_0112 a 3101_CAMP. REG)'!$F$231:$Q$461,12,FALSE)</f>
        <v>136.54</v>
      </c>
      <c r="AH150" s="121" t="s">
        <v>221</v>
      </c>
      <c r="AI150" s="69" t="s">
        <v>19</v>
      </c>
      <c r="AJ150" s="68" t="str">
        <f>VLOOKUP(UNG[[#This Row],[CURSO]],'[1]POS_EAD_0112 a 3101_CAMP. REG)'!$F$463:$G$688,2,FALSE)</f>
        <v>Humanas</v>
      </c>
      <c r="AK150" s="68">
        <f>VLOOKUP(UNG[[#This Row],[CURSO]],'[1]POS_EAD_0112 a 3101_CAMP. REG)'!$F$463:$H$688,3,FALSE)</f>
        <v>6</v>
      </c>
      <c r="AL150" s="68">
        <f>VLOOKUP(UNG[[#This Row],[CURSO]],'[1]POS_EAD_0112 a 3101_CAMP. REG)'!$F$463:$I$688,4,FALSE)</f>
        <v>13</v>
      </c>
      <c r="AM150" s="71">
        <f>VLOOKUP(UNG[[#This Row],[CURSO]],'[1]POS_EAD_0112 a 3101_CAMP. REG)'!$F$463:$J$688,5,FALSE)</f>
        <v>269.33202599999998</v>
      </c>
      <c r="AN150" s="124">
        <f>VLOOKUP(UNG[[#This Row],[CURSO]],'[1]POS_EAD_0112 a 3101_CAMP. REG)'!$F$463:$L$688,7,FALSE)</f>
        <v>0.45</v>
      </c>
      <c r="AO150" s="71">
        <f>VLOOKUP(UNG[[#This Row],[CURSO]],'[1]POS_EAD_0112 a 3101_CAMP. REG)'!$F$463:$M$688,8,FALSE)</f>
        <v>133.32</v>
      </c>
      <c r="AP150" s="124">
        <f>VLOOKUP(UNG[[#This Row],[CURSO]],'[1]POS_EAD_0112 a 3101_CAMP. REG)'!$F$463:$P$688,11,FALSE)</f>
        <v>0.5</v>
      </c>
      <c r="AQ150" s="71">
        <f>VLOOKUP(UNG[[#This Row],[CURSO]],'[1]POS_EAD_0112 a 3101_CAMP. REG)'!$F$463:$Q$688,12,FALSE)</f>
        <v>121.2</v>
      </c>
      <c r="AS150" s="121" t="s">
        <v>221</v>
      </c>
      <c r="AT150" s="69" t="s">
        <v>19</v>
      </c>
      <c r="AU150" s="69" t="str">
        <f>VLOOKUP(UNINASSAU[[#This Row],[CURSO]],'[1]POS_EAD_0112 a 3101_CAMP. REG)'!$F$690:$G$915,2,FALSE)</f>
        <v>Humanas</v>
      </c>
      <c r="AV150" s="69">
        <f>VLOOKUP(UNINASSAU[[#This Row],[CURSO]],'[1]POS_EAD_0112 a 3101_CAMP. REG)'!$F$690:$H$915,3,FALSE)</f>
        <v>6</v>
      </c>
      <c r="AW150" s="69">
        <f>VLOOKUP(UNINASSAU[[#This Row],[CURSO]],'[1]POS_EAD_0112 a 3101_CAMP. REG)'!$F$690:$I$915,4,FALSE)</f>
        <v>13</v>
      </c>
      <c r="AX150" s="73">
        <f>VLOOKUP(UNINASSAU[[#This Row],[CURSO]],'[1]POS_EAD_0112 a 3101_CAMP. REG)'!$F$690:$J$915,5,FALSE)</f>
        <v>269.33202599999998</v>
      </c>
      <c r="AY150" s="72">
        <f>VLOOKUP(UNINASSAU[[#This Row],[CURSO]],'[1]POS_EAD_0112 a 3101_CAMP. REG)'!$F$690:$L$915,7,FALSE)</f>
        <v>0.45</v>
      </c>
      <c r="AZ150" s="73">
        <f>VLOOKUP(UNINASSAU[[#This Row],[CURSO]],'[1]POS_EAD_0112 a 3101_CAMP. REG)'!$F$690:$N$915,8,FALSE)</f>
        <v>133.32</v>
      </c>
      <c r="BA150" s="72">
        <f>VLOOKUP(UNINASSAU[[#This Row],[CURSO]],'[1]POS_EAD_0112 a 3101_CAMP. REG)'!$F$690:$P$915,11,FALSE)</f>
        <v>0.5</v>
      </c>
      <c r="BB150" s="73">
        <f>VLOOKUP(UNINASSAU[[#This Row],[CURSO]],'[1]POS_EAD_0112 a 3101_CAMP. REG)'!$F$690:$Q$915,12,FALSE)</f>
        <v>121.2</v>
      </c>
      <c r="BD150" s="104">
        <v>147</v>
      </c>
      <c r="BE150" s="121" t="s">
        <v>221</v>
      </c>
      <c r="BF150" s="69" t="s">
        <v>19</v>
      </c>
    </row>
    <row r="151" spans="12:58" x14ac:dyDescent="0.25">
      <c r="L151" s="121" t="s">
        <v>240</v>
      </c>
      <c r="M151" s="69" t="s">
        <v>19</v>
      </c>
      <c r="N151" s="69" t="str">
        <f>VLOOKUP($L$4,'[1]POS_EAD_0112 a 3101_CAMP. REG)'!$F$5:$G$231,2,FALSE)</f>
        <v>Humanas</v>
      </c>
      <c r="O151" s="69">
        <f>VLOOKUP(L151,'[1]POS_EAD_0112 a 3101_CAMP. REG)'!$F$5:$H$231,3,FALSE)</f>
        <v>12</v>
      </c>
      <c r="P151" s="68">
        <f>VLOOKUP(L151,'[1]POS_EAD_0112 a 3101_CAMP. REG)'!$F$5:$I$231,4,FALSE)</f>
        <v>19</v>
      </c>
      <c r="Q151" s="73">
        <f>VLOOKUP(L151,'[1]POS_EAD_0112 a 3101_CAMP. REG)'!$F$5:$J$231,5,FALSE)</f>
        <v>184.28091221052631</v>
      </c>
      <c r="R151" s="124">
        <f>VLOOKUP(L151,'[1]POS_EAD_0112 a 3101_CAMP. REG)'!$F$5:$L$231,7,FALSE)</f>
        <v>0.45</v>
      </c>
      <c r="S151" s="73">
        <f>VLOOKUP(L151,'[1]POS_EAD_0112 a 3101_CAMP. REG)'!$F$5:$M$231,8,FALSE)</f>
        <v>91.22</v>
      </c>
      <c r="T151" s="124">
        <f>VLOOKUP(L151,'[1]POS_EAD_0112 a 3101_CAMP. REG)'!$F$5:$P$231,11,FALSE)</f>
        <v>0.5</v>
      </c>
      <c r="U151" s="73">
        <f>VLOOKUP(L151,'[1]POS_EAD_0112 a 3101_CAMP. REG)'!$F$5:$Q$231,12,FALSE)</f>
        <v>82.93</v>
      </c>
      <c r="W151" s="121" t="s">
        <v>240</v>
      </c>
      <c r="X151" s="69" t="s">
        <v>19</v>
      </c>
      <c r="Y151" s="69" t="str">
        <f>VLOOKUP(W151,'[1]POS_EAD_0112 a 3101_CAMP. REG)'!$F$231:$G$461,2,FALSE)</f>
        <v>Humanas</v>
      </c>
      <c r="Z151" s="68">
        <f>VLOOKUP(W151,'[1]POS_EAD_0112 a 3101_CAMP. REG)'!$F$231:$H$461,3,FALSE)</f>
        <v>12</v>
      </c>
      <c r="AA151" s="68">
        <f>VLOOKUP(W151,'[1]POS_EAD_0112 a 3101_CAMP. REG)'!$F$231:$I$461,4,FALSE)</f>
        <v>19</v>
      </c>
      <c r="AB151" s="73">
        <f>VLOOKUP(W151,'[1]POS_EAD_0112 a 3101_CAMP. REG)'!$F$231:$J$461,5,FALSE)</f>
        <v>207.609666</v>
      </c>
      <c r="AC151" s="72">
        <f>VLOOKUP(W151,'[1]POS_EAD_0112 a 3101_CAMP. REG)'!$F$231:$L$461,7,FALSE)</f>
        <v>0.45</v>
      </c>
      <c r="AD151" s="73">
        <f>VLOOKUP(W151,'[1]POS_EAD_0112 a 3101_CAMP. REG)'!$F$231:$M$461,8,FALSE)</f>
        <v>102.77</v>
      </c>
      <c r="AE151" s="72">
        <f>VLOOKUP(W151,'[1]POS_EAD_0112 a 3101_CAMP. REG)'!$F$231:$P$461,11,FALSE)</f>
        <v>0.5</v>
      </c>
      <c r="AF151" s="73">
        <f>VLOOKUP(W151,'[1]POS_EAD_0112 a 3101_CAMP. REG)'!$F$231:$Q$461,12,FALSE)</f>
        <v>93.42</v>
      </c>
      <c r="AH151" s="121" t="s">
        <v>240</v>
      </c>
      <c r="AI151" s="69" t="s">
        <v>19</v>
      </c>
      <c r="AJ151" s="68" t="str">
        <f>VLOOKUP(UNG[[#This Row],[CURSO]],'[1]POS_EAD_0112 a 3101_CAMP. REG)'!$F$463:$G$688,2,FALSE)</f>
        <v>Humanas</v>
      </c>
      <c r="AK151" s="68">
        <f>VLOOKUP(UNG[[#This Row],[CURSO]],'[1]POS_EAD_0112 a 3101_CAMP. REG)'!$F$463:$H$688,3,FALSE)</f>
        <v>12</v>
      </c>
      <c r="AL151" s="68">
        <f>VLOOKUP(UNG[[#This Row],[CURSO]],'[1]POS_EAD_0112 a 3101_CAMP. REG)'!$F$463:$I$688,4,FALSE)</f>
        <v>19</v>
      </c>
      <c r="AM151" s="71">
        <f>VLOOKUP(UNG[[#This Row],[CURSO]],'[1]POS_EAD_0112 a 3101_CAMP. REG)'!$F$463:$J$688,5,FALSE)</f>
        <v>184.28091221052631</v>
      </c>
      <c r="AN151" s="124">
        <f>VLOOKUP(UNG[[#This Row],[CURSO]],'[1]POS_EAD_0112 a 3101_CAMP. REG)'!$F$463:$L$688,7,FALSE)</f>
        <v>0.45</v>
      </c>
      <c r="AO151" s="71">
        <f>VLOOKUP(UNG[[#This Row],[CURSO]],'[1]POS_EAD_0112 a 3101_CAMP. REG)'!$F$463:$M$688,8,FALSE)</f>
        <v>91.22</v>
      </c>
      <c r="AP151" s="124">
        <f>VLOOKUP(UNG[[#This Row],[CURSO]],'[1]POS_EAD_0112 a 3101_CAMP. REG)'!$F$463:$P$688,11,FALSE)</f>
        <v>0.5</v>
      </c>
      <c r="AQ151" s="71">
        <f>VLOOKUP(UNG[[#This Row],[CURSO]],'[1]POS_EAD_0112 a 3101_CAMP. REG)'!$F$463:$Q$688,12,FALSE)</f>
        <v>82.93</v>
      </c>
      <c r="AS151" s="121" t="s">
        <v>240</v>
      </c>
      <c r="AT151" s="69" t="s">
        <v>19</v>
      </c>
      <c r="AU151" s="69" t="str">
        <f>VLOOKUP(UNINASSAU[[#This Row],[CURSO]],'[1]POS_EAD_0112 a 3101_CAMP. REG)'!$F$690:$G$915,2,FALSE)</f>
        <v>Humanas</v>
      </c>
      <c r="AV151" s="69">
        <f>VLOOKUP(UNINASSAU[[#This Row],[CURSO]],'[1]POS_EAD_0112 a 3101_CAMP. REG)'!$F$690:$H$915,3,FALSE)</f>
        <v>12</v>
      </c>
      <c r="AW151" s="69">
        <f>VLOOKUP(UNINASSAU[[#This Row],[CURSO]],'[1]POS_EAD_0112 a 3101_CAMP. REG)'!$F$690:$I$915,4,FALSE)</f>
        <v>19</v>
      </c>
      <c r="AX151" s="73">
        <f>VLOOKUP(UNINASSAU[[#This Row],[CURSO]],'[1]POS_EAD_0112 a 3101_CAMP. REG)'!$F$690:$J$915,5,FALSE)</f>
        <v>184.28091221052631</v>
      </c>
      <c r="AY151" s="72">
        <f>VLOOKUP(UNINASSAU[[#This Row],[CURSO]],'[1]POS_EAD_0112 a 3101_CAMP. REG)'!$F$690:$L$915,7,FALSE)</f>
        <v>0.45</v>
      </c>
      <c r="AZ151" s="73">
        <f>VLOOKUP(UNINASSAU[[#This Row],[CURSO]],'[1]POS_EAD_0112 a 3101_CAMP. REG)'!$F$690:$N$915,8,FALSE)</f>
        <v>91.22</v>
      </c>
      <c r="BA151" s="72">
        <f>VLOOKUP(UNINASSAU[[#This Row],[CURSO]],'[1]POS_EAD_0112 a 3101_CAMP. REG)'!$F$690:$P$915,11,FALSE)</f>
        <v>0.5</v>
      </c>
      <c r="BB151" s="73">
        <f>VLOOKUP(UNINASSAU[[#This Row],[CURSO]],'[1]POS_EAD_0112 a 3101_CAMP. REG)'!$F$690:$Q$915,12,FALSE)</f>
        <v>82.93</v>
      </c>
      <c r="BD151" s="104">
        <v>148</v>
      </c>
      <c r="BE151" s="121" t="s">
        <v>240</v>
      </c>
      <c r="BF151" s="69" t="s">
        <v>19</v>
      </c>
    </row>
    <row r="152" spans="12:58" x14ac:dyDescent="0.25">
      <c r="L152" s="121" t="s">
        <v>209</v>
      </c>
      <c r="M152" s="69" t="s">
        <v>19</v>
      </c>
      <c r="N152" s="69" t="str">
        <f>VLOOKUP($L$4,'[1]POS_EAD_0112 a 3101_CAMP. REG)'!$F$5:$G$231,2,FALSE)</f>
        <v>Humanas</v>
      </c>
      <c r="O152" s="69">
        <f>VLOOKUP(L152,'[1]POS_EAD_0112 a 3101_CAMP. REG)'!$F$5:$H$231,3,FALSE)</f>
        <v>6</v>
      </c>
      <c r="P152" s="68">
        <f>VLOOKUP(L152,'[1]POS_EAD_0112 a 3101_CAMP. REG)'!$F$5:$I$231,4,FALSE)</f>
        <v>13</v>
      </c>
      <c r="Q152" s="73">
        <f>VLOOKUP(L152,'[1]POS_EAD_0112 a 3101_CAMP. REG)'!$F$5:$J$231,5,FALSE)</f>
        <v>269.33202599999998</v>
      </c>
      <c r="R152" s="124">
        <f>VLOOKUP(L152,'[1]POS_EAD_0112 a 3101_CAMP. REG)'!$F$5:$L$231,7,FALSE)</f>
        <v>0.45</v>
      </c>
      <c r="S152" s="73">
        <f>VLOOKUP(L152,'[1]POS_EAD_0112 a 3101_CAMP. REG)'!$F$5:$M$231,8,FALSE)</f>
        <v>133.32</v>
      </c>
      <c r="T152" s="124">
        <f>VLOOKUP(L152,'[1]POS_EAD_0112 a 3101_CAMP. REG)'!$F$5:$P$231,11,FALSE)</f>
        <v>0.5</v>
      </c>
      <c r="U152" s="73">
        <f>VLOOKUP(L152,'[1]POS_EAD_0112 a 3101_CAMP. REG)'!$F$5:$Q$231,12,FALSE)</f>
        <v>121.2</v>
      </c>
      <c r="W152" s="121" t="s">
        <v>209</v>
      </c>
      <c r="X152" s="69" t="s">
        <v>19</v>
      </c>
      <c r="Y152" s="69" t="str">
        <f>VLOOKUP(W152,'[1]POS_EAD_0112 a 3101_CAMP. REG)'!$F$231:$G$461,2,FALSE)</f>
        <v>Humanas</v>
      </c>
      <c r="Z152" s="68">
        <f>VLOOKUP(W152,'[1]POS_EAD_0112 a 3101_CAMP. REG)'!$F$231:$H$461,3,FALSE)</f>
        <v>6</v>
      </c>
      <c r="AA152" s="68">
        <f>VLOOKUP(W152,'[1]POS_EAD_0112 a 3101_CAMP. REG)'!$F$231:$I$461,4,FALSE)</f>
        <v>13</v>
      </c>
      <c r="AB152" s="73">
        <f>VLOOKUP(W152,'[1]POS_EAD_0112 a 3101_CAMP. REG)'!$F$231:$J$461,5,FALSE)</f>
        <v>303.42628200000001</v>
      </c>
      <c r="AC152" s="72">
        <f>VLOOKUP(W152,'[1]POS_EAD_0112 a 3101_CAMP. REG)'!$F$231:$L$461,7,FALSE)</f>
        <v>0.45</v>
      </c>
      <c r="AD152" s="73">
        <f>VLOOKUP(W152,'[1]POS_EAD_0112 a 3101_CAMP. REG)'!$F$231:$M$461,8,FALSE)</f>
        <v>150.19999999999999</v>
      </c>
      <c r="AE152" s="72">
        <f>VLOOKUP(W152,'[1]POS_EAD_0112 a 3101_CAMP. REG)'!$F$231:$P$461,11,FALSE)</f>
        <v>0.5</v>
      </c>
      <c r="AF152" s="73">
        <f>VLOOKUP(W152,'[1]POS_EAD_0112 a 3101_CAMP. REG)'!$F$231:$Q$461,12,FALSE)</f>
        <v>136.54</v>
      </c>
      <c r="AH152" s="121" t="s">
        <v>209</v>
      </c>
      <c r="AI152" s="69" t="s">
        <v>19</v>
      </c>
      <c r="AJ152" s="68" t="str">
        <f>VLOOKUP(UNG[[#This Row],[CURSO]],'[1]POS_EAD_0112 a 3101_CAMP. REG)'!$F$463:$G$688,2,FALSE)</f>
        <v>Humanas</v>
      </c>
      <c r="AK152" s="68">
        <f>VLOOKUP(UNG[[#This Row],[CURSO]],'[1]POS_EAD_0112 a 3101_CAMP. REG)'!$F$463:$H$688,3,FALSE)</f>
        <v>6</v>
      </c>
      <c r="AL152" s="68">
        <f>VLOOKUP(UNG[[#This Row],[CURSO]],'[1]POS_EAD_0112 a 3101_CAMP. REG)'!$F$463:$I$688,4,FALSE)</f>
        <v>13</v>
      </c>
      <c r="AM152" s="71">
        <f>VLOOKUP(UNG[[#This Row],[CURSO]],'[1]POS_EAD_0112 a 3101_CAMP. REG)'!$F$463:$J$688,5,FALSE)</f>
        <v>269.33202599999998</v>
      </c>
      <c r="AN152" s="124">
        <f>VLOOKUP(UNG[[#This Row],[CURSO]],'[1]POS_EAD_0112 a 3101_CAMP. REG)'!$F$463:$L$688,7,FALSE)</f>
        <v>0.45</v>
      </c>
      <c r="AO152" s="71">
        <f>VLOOKUP(UNG[[#This Row],[CURSO]],'[1]POS_EAD_0112 a 3101_CAMP. REG)'!$F$463:$M$688,8,FALSE)</f>
        <v>133.32</v>
      </c>
      <c r="AP152" s="124">
        <f>VLOOKUP(UNG[[#This Row],[CURSO]],'[1]POS_EAD_0112 a 3101_CAMP. REG)'!$F$463:$P$688,11,FALSE)</f>
        <v>0.5</v>
      </c>
      <c r="AQ152" s="71">
        <f>VLOOKUP(UNG[[#This Row],[CURSO]],'[1]POS_EAD_0112 a 3101_CAMP. REG)'!$F$463:$Q$688,12,FALSE)</f>
        <v>121.2</v>
      </c>
      <c r="AS152" s="121" t="s">
        <v>209</v>
      </c>
      <c r="AT152" s="69" t="s">
        <v>19</v>
      </c>
      <c r="AU152" s="69" t="str">
        <f>VLOOKUP(UNINASSAU[[#This Row],[CURSO]],'[1]POS_EAD_0112 a 3101_CAMP. REG)'!$F$690:$G$915,2,FALSE)</f>
        <v>Humanas</v>
      </c>
      <c r="AV152" s="69">
        <f>VLOOKUP(UNINASSAU[[#This Row],[CURSO]],'[1]POS_EAD_0112 a 3101_CAMP. REG)'!$F$690:$H$915,3,FALSE)</f>
        <v>6</v>
      </c>
      <c r="AW152" s="69">
        <f>VLOOKUP(UNINASSAU[[#This Row],[CURSO]],'[1]POS_EAD_0112 a 3101_CAMP. REG)'!$F$690:$I$915,4,FALSE)</f>
        <v>13</v>
      </c>
      <c r="AX152" s="73">
        <f>VLOOKUP(UNINASSAU[[#This Row],[CURSO]],'[1]POS_EAD_0112 a 3101_CAMP. REG)'!$F$690:$J$915,5,FALSE)</f>
        <v>269.33202599999998</v>
      </c>
      <c r="AY152" s="72">
        <f>VLOOKUP(UNINASSAU[[#This Row],[CURSO]],'[1]POS_EAD_0112 a 3101_CAMP. REG)'!$F$690:$L$915,7,FALSE)</f>
        <v>0.45</v>
      </c>
      <c r="AZ152" s="73">
        <f>VLOOKUP(UNINASSAU[[#This Row],[CURSO]],'[1]POS_EAD_0112 a 3101_CAMP. REG)'!$F$690:$N$915,8,FALSE)</f>
        <v>133.32</v>
      </c>
      <c r="BA152" s="72">
        <f>VLOOKUP(UNINASSAU[[#This Row],[CURSO]],'[1]POS_EAD_0112 a 3101_CAMP. REG)'!$F$690:$P$915,11,FALSE)</f>
        <v>0.5</v>
      </c>
      <c r="BB152" s="73">
        <f>VLOOKUP(UNINASSAU[[#This Row],[CURSO]],'[1]POS_EAD_0112 a 3101_CAMP. REG)'!$F$690:$Q$915,12,FALSE)</f>
        <v>121.2</v>
      </c>
      <c r="BD152" s="104">
        <v>149</v>
      </c>
      <c r="BE152" s="121" t="s">
        <v>209</v>
      </c>
      <c r="BF152" s="69" t="s">
        <v>19</v>
      </c>
    </row>
    <row r="153" spans="12:58" x14ac:dyDescent="0.25">
      <c r="L153" s="121" t="s">
        <v>224</v>
      </c>
      <c r="M153" s="69" t="s">
        <v>19</v>
      </c>
      <c r="N153" s="69" t="str">
        <f>VLOOKUP($L$4,'[1]POS_EAD_0112 a 3101_CAMP. REG)'!$F$5:$G$231,2,FALSE)</f>
        <v>Humanas</v>
      </c>
      <c r="O153" s="69">
        <f>VLOOKUP(L153,'[1]POS_EAD_0112 a 3101_CAMP. REG)'!$F$5:$H$231,3,FALSE)</f>
        <v>12</v>
      </c>
      <c r="P153" s="68">
        <f>VLOOKUP(L153,'[1]POS_EAD_0112 a 3101_CAMP. REG)'!$F$5:$I$231,4,FALSE)</f>
        <v>19</v>
      </c>
      <c r="Q153" s="73">
        <f>VLOOKUP(L153,'[1]POS_EAD_0112 a 3101_CAMP. REG)'!$F$5:$J$231,5,FALSE)</f>
        <v>184.28091221052631</v>
      </c>
      <c r="R153" s="124">
        <f>VLOOKUP(L153,'[1]POS_EAD_0112 a 3101_CAMP. REG)'!$F$5:$L$231,7,FALSE)</f>
        <v>0.45</v>
      </c>
      <c r="S153" s="73">
        <f>VLOOKUP(L153,'[1]POS_EAD_0112 a 3101_CAMP. REG)'!$F$5:$M$231,8,FALSE)</f>
        <v>91.22</v>
      </c>
      <c r="T153" s="124">
        <f>VLOOKUP(L153,'[1]POS_EAD_0112 a 3101_CAMP. REG)'!$F$5:$P$231,11,FALSE)</f>
        <v>0.5</v>
      </c>
      <c r="U153" s="73">
        <f>VLOOKUP(L153,'[1]POS_EAD_0112 a 3101_CAMP. REG)'!$F$5:$Q$231,12,FALSE)</f>
        <v>82.93</v>
      </c>
      <c r="W153" s="121" t="s">
        <v>224</v>
      </c>
      <c r="X153" s="69" t="s">
        <v>19</v>
      </c>
      <c r="Y153" s="69" t="str">
        <f>VLOOKUP(W153,'[1]POS_EAD_0112 a 3101_CAMP. REG)'!$F$231:$G$461,2,FALSE)</f>
        <v>Humanas</v>
      </c>
      <c r="Z153" s="68">
        <f>VLOOKUP(W153,'[1]POS_EAD_0112 a 3101_CAMP. REG)'!$F$231:$H$461,3,FALSE)</f>
        <v>12</v>
      </c>
      <c r="AA153" s="68">
        <f>VLOOKUP(W153,'[1]POS_EAD_0112 a 3101_CAMP. REG)'!$F$231:$I$461,4,FALSE)</f>
        <v>19</v>
      </c>
      <c r="AB153" s="73">
        <f>VLOOKUP(W153,'[1]POS_EAD_0112 a 3101_CAMP. REG)'!$F$231:$J$461,5,FALSE)</f>
        <v>207.609666</v>
      </c>
      <c r="AC153" s="72">
        <f>VLOOKUP(W153,'[1]POS_EAD_0112 a 3101_CAMP. REG)'!$F$231:$L$461,7,FALSE)</f>
        <v>0.45</v>
      </c>
      <c r="AD153" s="73">
        <f>VLOOKUP(W153,'[1]POS_EAD_0112 a 3101_CAMP. REG)'!$F$231:$M$461,8,FALSE)</f>
        <v>102.77</v>
      </c>
      <c r="AE153" s="72">
        <f>VLOOKUP(W153,'[1]POS_EAD_0112 a 3101_CAMP. REG)'!$F$231:$P$461,11,FALSE)</f>
        <v>0.5</v>
      </c>
      <c r="AF153" s="73">
        <f>VLOOKUP(W153,'[1]POS_EAD_0112 a 3101_CAMP. REG)'!$F$231:$Q$461,12,FALSE)</f>
        <v>93.42</v>
      </c>
      <c r="AH153" s="121" t="s">
        <v>224</v>
      </c>
      <c r="AI153" s="69" t="s">
        <v>19</v>
      </c>
      <c r="AJ153" s="68" t="str">
        <f>VLOOKUP(UNG[[#This Row],[CURSO]],'[1]POS_EAD_0112 a 3101_CAMP. REG)'!$F$463:$G$688,2,FALSE)</f>
        <v>Humanas</v>
      </c>
      <c r="AK153" s="68">
        <f>VLOOKUP(UNG[[#This Row],[CURSO]],'[1]POS_EAD_0112 a 3101_CAMP. REG)'!$F$463:$H$688,3,FALSE)</f>
        <v>12</v>
      </c>
      <c r="AL153" s="68">
        <f>VLOOKUP(UNG[[#This Row],[CURSO]],'[1]POS_EAD_0112 a 3101_CAMP. REG)'!$F$463:$I$688,4,FALSE)</f>
        <v>19</v>
      </c>
      <c r="AM153" s="71">
        <f>VLOOKUP(UNG[[#This Row],[CURSO]],'[1]POS_EAD_0112 a 3101_CAMP. REG)'!$F$463:$J$688,5,FALSE)</f>
        <v>184.28091221052631</v>
      </c>
      <c r="AN153" s="124">
        <f>VLOOKUP(UNG[[#This Row],[CURSO]],'[1]POS_EAD_0112 a 3101_CAMP. REG)'!$F$463:$L$688,7,FALSE)</f>
        <v>0.45</v>
      </c>
      <c r="AO153" s="71">
        <f>VLOOKUP(UNG[[#This Row],[CURSO]],'[1]POS_EAD_0112 a 3101_CAMP. REG)'!$F$463:$M$688,8,FALSE)</f>
        <v>91.22</v>
      </c>
      <c r="AP153" s="124">
        <f>VLOOKUP(UNG[[#This Row],[CURSO]],'[1]POS_EAD_0112 a 3101_CAMP. REG)'!$F$463:$P$688,11,FALSE)</f>
        <v>0.5</v>
      </c>
      <c r="AQ153" s="71">
        <f>VLOOKUP(UNG[[#This Row],[CURSO]],'[1]POS_EAD_0112 a 3101_CAMP. REG)'!$F$463:$Q$688,12,FALSE)</f>
        <v>82.93</v>
      </c>
      <c r="AS153" s="121" t="s">
        <v>224</v>
      </c>
      <c r="AT153" s="69" t="s">
        <v>19</v>
      </c>
      <c r="AU153" s="69" t="str">
        <f>VLOOKUP(UNINASSAU[[#This Row],[CURSO]],'[1]POS_EAD_0112 a 3101_CAMP. REG)'!$F$690:$G$915,2,FALSE)</f>
        <v>Humanas</v>
      </c>
      <c r="AV153" s="69">
        <f>VLOOKUP(UNINASSAU[[#This Row],[CURSO]],'[1]POS_EAD_0112 a 3101_CAMP. REG)'!$F$690:$H$915,3,FALSE)</f>
        <v>12</v>
      </c>
      <c r="AW153" s="69">
        <f>VLOOKUP(UNINASSAU[[#This Row],[CURSO]],'[1]POS_EAD_0112 a 3101_CAMP. REG)'!$F$690:$I$915,4,FALSE)</f>
        <v>19</v>
      </c>
      <c r="AX153" s="73">
        <f>VLOOKUP(UNINASSAU[[#This Row],[CURSO]],'[1]POS_EAD_0112 a 3101_CAMP. REG)'!$F$690:$J$915,5,FALSE)</f>
        <v>184.28091221052631</v>
      </c>
      <c r="AY153" s="72">
        <f>VLOOKUP(UNINASSAU[[#This Row],[CURSO]],'[1]POS_EAD_0112 a 3101_CAMP. REG)'!$F$690:$L$915,7,FALSE)</f>
        <v>0.45</v>
      </c>
      <c r="AZ153" s="73">
        <f>VLOOKUP(UNINASSAU[[#This Row],[CURSO]],'[1]POS_EAD_0112 a 3101_CAMP. REG)'!$F$690:$N$915,8,FALSE)</f>
        <v>91.22</v>
      </c>
      <c r="BA153" s="72">
        <f>VLOOKUP(UNINASSAU[[#This Row],[CURSO]],'[1]POS_EAD_0112 a 3101_CAMP. REG)'!$F$690:$P$915,11,FALSE)</f>
        <v>0.5</v>
      </c>
      <c r="BB153" s="73">
        <f>VLOOKUP(UNINASSAU[[#This Row],[CURSO]],'[1]POS_EAD_0112 a 3101_CAMP. REG)'!$F$690:$Q$915,12,FALSE)</f>
        <v>82.93</v>
      </c>
      <c r="BD153" s="104">
        <v>150</v>
      </c>
      <c r="BE153" s="121" t="s">
        <v>224</v>
      </c>
      <c r="BF153" s="69" t="s">
        <v>19</v>
      </c>
    </row>
    <row r="154" spans="12:58" x14ac:dyDescent="0.25">
      <c r="L154" s="121" t="s">
        <v>142</v>
      </c>
      <c r="M154" s="69" t="s">
        <v>19</v>
      </c>
      <c r="N154" s="69" t="str">
        <f>VLOOKUP($L$4,'[1]POS_EAD_0112 a 3101_CAMP. REG)'!$F$5:$G$231,2,FALSE)</f>
        <v>Humanas</v>
      </c>
      <c r="O154" s="69">
        <f>VLOOKUP(L154,'[1]POS_EAD_0112 a 3101_CAMP. REG)'!$F$5:$H$231,3,FALSE)</f>
        <v>12</v>
      </c>
      <c r="P154" s="68">
        <f>VLOOKUP(L154,'[1]POS_EAD_0112 a 3101_CAMP. REG)'!$F$5:$I$231,4,FALSE)</f>
        <v>19</v>
      </c>
      <c r="Q154" s="73">
        <f>VLOOKUP(L154,'[1]POS_EAD_0112 a 3101_CAMP. REG)'!$F$5:$J$231,5,FALSE)</f>
        <v>184.28091221052631</v>
      </c>
      <c r="R154" s="124">
        <f>VLOOKUP(L154,'[1]POS_EAD_0112 a 3101_CAMP. REG)'!$F$5:$L$231,7,FALSE)</f>
        <v>0.45</v>
      </c>
      <c r="S154" s="73">
        <f>VLOOKUP(L154,'[1]POS_EAD_0112 a 3101_CAMP. REG)'!$F$5:$M$231,8,FALSE)</f>
        <v>91.22</v>
      </c>
      <c r="T154" s="124">
        <f>VLOOKUP(L154,'[1]POS_EAD_0112 a 3101_CAMP. REG)'!$F$5:$P$231,11,FALSE)</f>
        <v>0.5</v>
      </c>
      <c r="U154" s="73">
        <f>VLOOKUP(L154,'[1]POS_EAD_0112 a 3101_CAMP. REG)'!$F$5:$Q$231,12,FALSE)</f>
        <v>82.93</v>
      </c>
      <c r="W154" s="121" t="s">
        <v>142</v>
      </c>
      <c r="X154" s="69" t="s">
        <v>19</v>
      </c>
      <c r="Y154" s="69" t="str">
        <f>VLOOKUP(W154,'[1]POS_EAD_0112 a 3101_CAMP. REG)'!$F$231:$G$461,2,FALSE)</f>
        <v>Humanas</v>
      </c>
      <c r="Z154" s="68">
        <f>VLOOKUP(W154,'[1]POS_EAD_0112 a 3101_CAMP. REG)'!$F$231:$H$461,3,FALSE)</f>
        <v>12</v>
      </c>
      <c r="AA154" s="68">
        <f>VLOOKUP(W154,'[1]POS_EAD_0112 a 3101_CAMP. REG)'!$F$231:$I$461,4,FALSE)</f>
        <v>19</v>
      </c>
      <c r="AB154" s="73">
        <f>VLOOKUP(W154,'[1]POS_EAD_0112 a 3101_CAMP. REG)'!$F$231:$J$461,5,FALSE)</f>
        <v>207.609666</v>
      </c>
      <c r="AC154" s="72">
        <f>VLOOKUP(W154,'[1]POS_EAD_0112 a 3101_CAMP. REG)'!$F$231:$L$461,7,FALSE)</f>
        <v>0.45</v>
      </c>
      <c r="AD154" s="73">
        <f>VLOOKUP(W154,'[1]POS_EAD_0112 a 3101_CAMP. REG)'!$F$231:$M$461,8,FALSE)</f>
        <v>102.77</v>
      </c>
      <c r="AE154" s="72">
        <f>VLOOKUP(W154,'[1]POS_EAD_0112 a 3101_CAMP. REG)'!$F$231:$P$461,11,FALSE)</f>
        <v>0.5</v>
      </c>
      <c r="AF154" s="73">
        <f>VLOOKUP(W154,'[1]POS_EAD_0112 a 3101_CAMP. REG)'!$F$231:$Q$461,12,FALSE)</f>
        <v>93.42</v>
      </c>
      <c r="AH154" s="121" t="s">
        <v>142</v>
      </c>
      <c r="AI154" s="69" t="s">
        <v>19</v>
      </c>
      <c r="AJ154" s="68" t="str">
        <f>VLOOKUP(UNG[[#This Row],[CURSO]],'[1]POS_EAD_0112 a 3101_CAMP. REG)'!$F$463:$G$688,2,FALSE)</f>
        <v>Humanas</v>
      </c>
      <c r="AK154" s="68">
        <f>VLOOKUP(UNG[[#This Row],[CURSO]],'[1]POS_EAD_0112 a 3101_CAMP. REG)'!$F$463:$H$688,3,FALSE)</f>
        <v>12</v>
      </c>
      <c r="AL154" s="68">
        <f>VLOOKUP(UNG[[#This Row],[CURSO]],'[1]POS_EAD_0112 a 3101_CAMP. REG)'!$F$463:$I$688,4,FALSE)</f>
        <v>19</v>
      </c>
      <c r="AM154" s="71">
        <f>VLOOKUP(UNG[[#This Row],[CURSO]],'[1]POS_EAD_0112 a 3101_CAMP. REG)'!$F$463:$J$688,5,FALSE)</f>
        <v>184.28091221052631</v>
      </c>
      <c r="AN154" s="124">
        <f>VLOOKUP(UNG[[#This Row],[CURSO]],'[1]POS_EAD_0112 a 3101_CAMP. REG)'!$F$463:$L$688,7,FALSE)</f>
        <v>0.45</v>
      </c>
      <c r="AO154" s="71">
        <f>VLOOKUP(UNG[[#This Row],[CURSO]],'[1]POS_EAD_0112 a 3101_CAMP. REG)'!$F$463:$M$688,8,FALSE)</f>
        <v>91.22</v>
      </c>
      <c r="AP154" s="124">
        <f>VLOOKUP(UNG[[#This Row],[CURSO]],'[1]POS_EAD_0112 a 3101_CAMP. REG)'!$F$463:$P$688,11,FALSE)</f>
        <v>0.5</v>
      </c>
      <c r="AQ154" s="71">
        <f>VLOOKUP(UNG[[#This Row],[CURSO]],'[1]POS_EAD_0112 a 3101_CAMP. REG)'!$F$463:$Q$688,12,FALSE)</f>
        <v>82.93</v>
      </c>
      <c r="AS154" s="121" t="s">
        <v>142</v>
      </c>
      <c r="AT154" s="69" t="s">
        <v>19</v>
      </c>
      <c r="AU154" s="69" t="str">
        <f>VLOOKUP(UNINASSAU[[#This Row],[CURSO]],'[1]POS_EAD_0112 a 3101_CAMP. REG)'!$F$690:$G$915,2,FALSE)</f>
        <v>Humanas</v>
      </c>
      <c r="AV154" s="69">
        <f>VLOOKUP(UNINASSAU[[#This Row],[CURSO]],'[1]POS_EAD_0112 a 3101_CAMP. REG)'!$F$690:$H$915,3,FALSE)</f>
        <v>12</v>
      </c>
      <c r="AW154" s="69">
        <f>VLOOKUP(UNINASSAU[[#This Row],[CURSO]],'[1]POS_EAD_0112 a 3101_CAMP. REG)'!$F$690:$I$915,4,FALSE)</f>
        <v>19</v>
      </c>
      <c r="AX154" s="73">
        <f>VLOOKUP(UNINASSAU[[#This Row],[CURSO]],'[1]POS_EAD_0112 a 3101_CAMP. REG)'!$F$690:$J$915,5,FALSE)</f>
        <v>184.28091221052631</v>
      </c>
      <c r="AY154" s="72">
        <f>VLOOKUP(UNINASSAU[[#This Row],[CURSO]],'[1]POS_EAD_0112 a 3101_CAMP. REG)'!$F$690:$L$915,7,FALSE)</f>
        <v>0.45</v>
      </c>
      <c r="AZ154" s="73">
        <f>VLOOKUP(UNINASSAU[[#This Row],[CURSO]],'[1]POS_EAD_0112 a 3101_CAMP. REG)'!$F$690:$N$915,8,FALSE)</f>
        <v>91.22</v>
      </c>
      <c r="BA154" s="72">
        <f>VLOOKUP(UNINASSAU[[#This Row],[CURSO]],'[1]POS_EAD_0112 a 3101_CAMP. REG)'!$F$690:$P$915,11,FALSE)</f>
        <v>0.5</v>
      </c>
      <c r="BB154" s="73">
        <f>VLOOKUP(UNINASSAU[[#This Row],[CURSO]],'[1]POS_EAD_0112 a 3101_CAMP. REG)'!$F$690:$Q$915,12,FALSE)</f>
        <v>82.93</v>
      </c>
      <c r="BD154" s="104">
        <v>151</v>
      </c>
      <c r="BE154" s="121" t="s">
        <v>142</v>
      </c>
      <c r="BF154" s="69" t="s">
        <v>19</v>
      </c>
    </row>
    <row r="155" spans="12:58" x14ac:dyDescent="0.25">
      <c r="L155" s="121" t="s">
        <v>128</v>
      </c>
      <c r="M155" s="69" t="s">
        <v>19</v>
      </c>
      <c r="N155" s="69" t="str">
        <f>VLOOKUP($L$4,'[1]POS_EAD_0112 a 3101_CAMP. REG)'!$F$5:$G$231,2,FALSE)</f>
        <v>Humanas</v>
      </c>
      <c r="O155" s="69">
        <f>VLOOKUP(L155,'[1]POS_EAD_0112 a 3101_CAMP. REG)'!$F$5:$H$231,3,FALSE)</f>
        <v>12</v>
      </c>
      <c r="P155" s="68">
        <f>VLOOKUP(L155,'[1]POS_EAD_0112 a 3101_CAMP. REG)'!$F$5:$I$231,4,FALSE)</f>
        <v>19</v>
      </c>
      <c r="Q155" s="73">
        <f>VLOOKUP(L155,'[1]POS_EAD_0112 a 3101_CAMP. REG)'!$F$5:$J$231,5,FALSE)</f>
        <v>184.28091221052631</v>
      </c>
      <c r="R155" s="124">
        <f>VLOOKUP(L155,'[1]POS_EAD_0112 a 3101_CAMP. REG)'!$F$5:$L$231,7,FALSE)</f>
        <v>0.45</v>
      </c>
      <c r="S155" s="73">
        <f>VLOOKUP(L155,'[1]POS_EAD_0112 a 3101_CAMP. REG)'!$F$5:$M$231,8,FALSE)</f>
        <v>91.22</v>
      </c>
      <c r="T155" s="124">
        <f>VLOOKUP(L155,'[1]POS_EAD_0112 a 3101_CAMP. REG)'!$F$5:$P$231,11,FALSE)</f>
        <v>0.5</v>
      </c>
      <c r="U155" s="73">
        <f>VLOOKUP(L155,'[1]POS_EAD_0112 a 3101_CAMP. REG)'!$F$5:$Q$231,12,FALSE)</f>
        <v>82.93</v>
      </c>
      <c r="W155" s="121" t="s">
        <v>128</v>
      </c>
      <c r="X155" s="69" t="s">
        <v>19</v>
      </c>
      <c r="Y155" s="69" t="str">
        <f>VLOOKUP(W155,'[1]POS_EAD_0112 a 3101_CAMP. REG)'!$F$231:$G$461,2,FALSE)</f>
        <v>Humanas</v>
      </c>
      <c r="Z155" s="68">
        <f>VLOOKUP(W155,'[1]POS_EAD_0112 a 3101_CAMP. REG)'!$F$231:$H$461,3,FALSE)</f>
        <v>12</v>
      </c>
      <c r="AA155" s="68">
        <f>VLOOKUP(W155,'[1]POS_EAD_0112 a 3101_CAMP. REG)'!$F$231:$I$461,4,FALSE)</f>
        <v>19</v>
      </c>
      <c r="AB155" s="73">
        <f>VLOOKUP(W155,'[1]POS_EAD_0112 a 3101_CAMP. REG)'!$F$231:$J$461,5,FALSE)</f>
        <v>207.609666</v>
      </c>
      <c r="AC155" s="72">
        <f>VLOOKUP(W155,'[1]POS_EAD_0112 a 3101_CAMP. REG)'!$F$231:$L$461,7,FALSE)</f>
        <v>0.45</v>
      </c>
      <c r="AD155" s="73">
        <f>VLOOKUP(W155,'[1]POS_EAD_0112 a 3101_CAMP. REG)'!$F$231:$M$461,8,FALSE)</f>
        <v>102.77</v>
      </c>
      <c r="AE155" s="72">
        <f>VLOOKUP(W155,'[1]POS_EAD_0112 a 3101_CAMP. REG)'!$F$231:$P$461,11,FALSE)</f>
        <v>0.5</v>
      </c>
      <c r="AF155" s="73">
        <f>VLOOKUP(W155,'[1]POS_EAD_0112 a 3101_CAMP. REG)'!$F$231:$Q$461,12,FALSE)</f>
        <v>93.42</v>
      </c>
      <c r="AH155" s="121" t="s">
        <v>128</v>
      </c>
      <c r="AI155" s="69" t="s">
        <v>19</v>
      </c>
      <c r="AJ155" s="68" t="str">
        <f>VLOOKUP(UNG[[#This Row],[CURSO]],'[1]POS_EAD_0112 a 3101_CAMP. REG)'!$F$463:$G$688,2,FALSE)</f>
        <v>Humanas</v>
      </c>
      <c r="AK155" s="68">
        <f>VLOOKUP(UNG[[#This Row],[CURSO]],'[1]POS_EAD_0112 a 3101_CAMP. REG)'!$F$463:$H$688,3,FALSE)</f>
        <v>12</v>
      </c>
      <c r="AL155" s="68">
        <f>VLOOKUP(UNG[[#This Row],[CURSO]],'[1]POS_EAD_0112 a 3101_CAMP. REG)'!$F$463:$I$688,4,FALSE)</f>
        <v>19</v>
      </c>
      <c r="AM155" s="71">
        <f>VLOOKUP(UNG[[#This Row],[CURSO]],'[1]POS_EAD_0112 a 3101_CAMP. REG)'!$F$463:$J$688,5,FALSE)</f>
        <v>184.28091221052631</v>
      </c>
      <c r="AN155" s="124">
        <f>VLOOKUP(UNG[[#This Row],[CURSO]],'[1]POS_EAD_0112 a 3101_CAMP. REG)'!$F$463:$L$688,7,FALSE)</f>
        <v>0.45</v>
      </c>
      <c r="AO155" s="71">
        <f>VLOOKUP(UNG[[#This Row],[CURSO]],'[1]POS_EAD_0112 a 3101_CAMP. REG)'!$F$463:$M$688,8,FALSE)</f>
        <v>91.22</v>
      </c>
      <c r="AP155" s="124">
        <f>VLOOKUP(UNG[[#This Row],[CURSO]],'[1]POS_EAD_0112 a 3101_CAMP. REG)'!$F$463:$P$688,11,FALSE)</f>
        <v>0.5</v>
      </c>
      <c r="AQ155" s="71">
        <f>VLOOKUP(UNG[[#This Row],[CURSO]],'[1]POS_EAD_0112 a 3101_CAMP. REG)'!$F$463:$Q$688,12,FALSE)</f>
        <v>82.93</v>
      </c>
      <c r="AS155" s="121" t="s">
        <v>128</v>
      </c>
      <c r="AT155" s="69" t="s">
        <v>19</v>
      </c>
      <c r="AU155" s="69" t="str">
        <f>VLOOKUP(UNINASSAU[[#This Row],[CURSO]],'[1]POS_EAD_0112 a 3101_CAMP. REG)'!$F$690:$G$915,2,FALSE)</f>
        <v>Humanas</v>
      </c>
      <c r="AV155" s="69">
        <f>VLOOKUP(UNINASSAU[[#This Row],[CURSO]],'[1]POS_EAD_0112 a 3101_CAMP. REG)'!$F$690:$H$915,3,FALSE)</f>
        <v>12</v>
      </c>
      <c r="AW155" s="69">
        <f>VLOOKUP(UNINASSAU[[#This Row],[CURSO]],'[1]POS_EAD_0112 a 3101_CAMP. REG)'!$F$690:$I$915,4,FALSE)</f>
        <v>19</v>
      </c>
      <c r="AX155" s="73">
        <f>VLOOKUP(UNINASSAU[[#This Row],[CURSO]],'[1]POS_EAD_0112 a 3101_CAMP. REG)'!$F$690:$J$915,5,FALSE)</f>
        <v>184.28091221052631</v>
      </c>
      <c r="AY155" s="72">
        <f>VLOOKUP(UNINASSAU[[#This Row],[CURSO]],'[1]POS_EAD_0112 a 3101_CAMP. REG)'!$F$690:$L$915,7,FALSE)</f>
        <v>0.45</v>
      </c>
      <c r="AZ155" s="73">
        <f>VLOOKUP(UNINASSAU[[#This Row],[CURSO]],'[1]POS_EAD_0112 a 3101_CAMP. REG)'!$F$690:$N$915,8,FALSE)</f>
        <v>91.22</v>
      </c>
      <c r="BA155" s="72">
        <f>VLOOKUP(UNINASSAU[[#This Row],[CURSO]],'[1]POS_EAD_0112 a 3101_CAMP. REG)'!$F$690:$P$915,11,FALSE)</f>
        <v>0.5</v>
      </c>
      <c r="BB155" s="73">
        <f>VLOOKUP(UNINASSAU[[#This Row],[CURSO]],'[1]POS_EAD_0112 a 3101_CAMP. REG)'!$F$690:$Q$915,12,FALSE)</f>
        <v>82.93</v>
      </c>
      <c r="BD155" s="104">
        <v>152</v>
      </c>
      <c r="BE155" s="121" t="s">
        <v>128</v>
      </c>
      <c r="BF155" s="69" t="s">
        <v>19</v>
      </c>
    </row>
    <row r="156" spans="12:58" x14ac:dyDescent="0.25">
      <c r="L156" s="121" t="s">
        <v>66</v>
      </c>
      <c r="M156" s="69" t="s">
        <v>19</v>
      </c>
      <c r="N156" s="69" t="str">
        <f>VLOOKUP($L$4,'[1]POS_EAD_0112 a 3101_CAMP. REG)'!$F$5:$G$231,2,FALSE)</f>
        <v>Humanas</v>
      </c>
      <c r="O156" s="69">
        <f>VLOOKUP(L156,'[1]POS_EAD_0112 a 3101_CAMP. REG)'!$F$5:$H$231,3,FALSE)</f>
        <v>12</v>
      </c>
      <c r="P156" s="68">
        <f>VLOOKUP(L156,'[1]POS_EAD_0112 a 3101_CAMP. REG)'!$F$5:$I$231,4,FALSE)</f>
        <v>19</v>
      </c>
      <c r="Q156" s="73">
        <f>VLOOKUP(L156,'[1]POS_EAD_0112 a 3101_CAMP. REG)'!$F$5:$J$231,5,FALSE)</f>
        <v>277.58266800000001</v>
      </c>
      <c r="R156" s="124">
        <f>VLOOKUP(L156,'[1]POS_EAD_0112 a 3101_CAMP. REG)'!$F$5:$L$231,7,FALSE)</f>
        <v>0.45</v>
      </c>
      <c r="S156" s="73">
        <f>VLOOKUP(L156,'[1]POS_EAD_0112 a 3101_CAMP. REG)'!$F$5:$M$231,8,FALSE)</f>
        <v>137.4</v>
      </c>
      <c r="T156" s="124">
        <f>VLOOKUP(L156,'[1]POS_EAD_0112 a 3101_CAMP. REG)'!$F$5:$P$231,11,FALSE)</f>
        <v>0.5</v>
      </c>
      <c r="U156" s="73">
        <f>VLOOKUP(L156,'[1]POS_EAD_0112 a 3101_CAMP. REG)'!$F$5:$Q$231,12,FALSE)</f>
        <v>124.91</v>
      </c>
      <c r="W156" s="121" t="s">
        <v>66</v>
      </c>
      <c r="X156" s="69" t="s">
        <v>19</v>
      </c>
      <c r="Y156" s="69" t="str">
        <f>VLOOKUP(W156,'[1]POS_EAD_0112 a 3101_CAMP. REG)'!$F$231:$G$461,2,FALSE)</f>
        <v>Humanas</v>
      </c>
      <c r="Z156" s="68">
        <f>VLOOKUP(W156,'[1]POS_EAD_0112 a 3101_CAMP. REG)'!$F$231:$H$461,3,FALSE)</f>
        <v>12</v>
      </c>
      <c r="AA156" s="68">
        <f>VLOOKUP(W156,'[1]POS_EAD_0112 a 3101_CAMP. REG)'!$F$231:$I$461,4,FALSE)</f>
        <v>19</v>
      </c>
      <c r="AB156" s="73">
        <f>VLOOKUP(W156,'[1]POS_EAD_0112 a 3101_CAMP. REG)'!$F$231:$J$461,5,FALSE)</f>
        <v>300.91749900000002</v>
      </c>
      <c r="AC156" s="72">
        <f>VLOOKUP(W156,'[1]POS_EAD_0112 a 3101_CAMP. REG)'!$F$231:$L$461,7,FALSE)</f>
        <v>0.45</v>
      </c>
      <c r="AD156" s="73">
        <f>VLOOKUP(W156,'[1]POS_EAD_0112 a 3101_CAMP. REG)'!$F$231:$M$461,8,FALSE)</f>
        <v>148.94999999999999</v>
      </c>
      <c r="AE156" s="72">
        <f>VLOOKUP(W156,'[1]POS_EAD_0112 a 3101_CAMP. REG)'!$F$231:$P$461,11,FALSE)</f>
        <v>0.5</v>
      </c>
      <c r="AF156" s="73">
        <f>VLOOKUP(W156,'[1]POS_EAD_0112 a 3101_CAMP. REG)'!$F$231:$Q$461,12,FALSE)</f>
        <v>135.41</v>
      </c>
      <c r="AH156" s="121" t="s">
        <v>66</v>
      </c>
      <c r="AI156" s="69" t="s">
        <v>19</v>
      </c>
      <c r="AJ156" s="68" t="str">
        <f>VLOOKUP(UNG[[#This Row],[CURSO]],'[1]POS_EAD_0112 a 3101_CAMP. REG)'!$F$463:$G$688,2,FALSE)</f>
        <v>Humanas</v>
      </c>
      <c r="AK156" s="68">
        <f>VLOOKUP(UNG[[#This Row],[CURSO]],'[1]POS_EAD_0112 a 3101_CAMP. REG)'!$F$463:$H$688,3,FALSE)</f>
        <v>12</v>
      </c>
      <c r="AL156" s="68">
        <f>VLOOKUP(UNG[[#This Row],[CURSO]],'[1]POS_EAD_0112 a 3101_CAMP. REG)'!$F$463:$I$688,4,FALSE)</f>
        <v>19</v>
      </c>
      <c r="AM156" s="71">
        <f>VLOOKUP(UNG[[#This Row],[CURSO]],'[1]POS_EAD_0112 a 3101_CAMP. REG)'!$F$463:$J$688,5,FALSE)</f>
        <v>277.58266800000001</v>
      </c>
      <c r="AN156" s="124">
        <f>VLOOKUP(UNG[[#This Row],[CURSO]],'[1]POS_EAD_0112 a 3101_CAMP. REG)'!$F$463:$L$688,7,FALSE)</f>
        <v>0.45</v>
      </c>
      <c r="AO156" s="71">
        <f>VLOOKUP(UNG[[#This Row],[CURSO]],'[1]POS_EAD_0112 a 3101_CAMP. REG)'!$F$463:$M$688,8,FALSE)</f>
        <v>137.4</v>
      </c>
      <c r="AP156" s="124">
        <f>VLOOKUP(UNG[[#This Row],[CURSO]],'[1]POS_EAD_0112 a 3101_CAMP. REG)'!$F$463:$P$688,11,FALSE)</f>
        <v>0.5</v>
      </c>
      <c r="AQ156" s="71">
        <f>VLOOKUP(UNG[[#This Row],[CURSO]],'[1]POS_EAD_0112 a 3101_CAMP. REG)'!$F$463:$Q$688,12,FALSE)</f>
        <v>124.91</v>
      </c>
      <c r="AS156" s="121" t="s">
        <v>66</v>
      </c>
      <c r="AT156" s="69" t="s">
        <v>19</v>
      </c>
      <c r="AU156" s="69" t="str">
        <f>VLOOKUP(UNINASSAU[[#This Row],[CURSO]],'[1]POS_EAD_0112 a 3101_CAMP. REG)'!$F$690:$G$915,2,FALSE)</f>
        <v>Humanas</v>
      </c>
      <c r="AV156" s="69">
        <f>VLOOKUP(UNINASSAU[[#This Row],[CURSO]],'[1]POS_EAD_0112 a 3101_CAMP. REG)'!$F$690:$H$915,3,FALSE)</f>
        <v>12</v>
      </c>
      <c r="AW156" s="69">
        <f>VLOOKUP(UNINASSAU[[#This Row],[CURSO]],'[1]POS_EAD_0112 a 3101_CAMP. REG)'!$F$690:$I$915,4,FALSE)</f>
        <v>19</v>
      </c>
      <c r="AX156" s="73">
        <f>VLOOKUP(UNINASSAU[[#This Row],[CURSO]],'[1]POS_EAD_0112 a 3101_CAMP. REG)'!$F$690:$J$915,5,FALSE)</f>
        <v>277.58266800000001</v>
      </c>
      <c r="AY156" s="72">
        <f>VLOOKUP(UNINASSAU[[#This Row],[CURSO]],'[1]POS_EAD_0112 a 3101_CAMP. REG)'!$F$690:$L$915,7,FALSE)</f>
        <v>0.45</v>
      </c>
      <c r="AZ156" s="73">
        <f>VLOOKUP(UNINASSAU[[#This Row],[CURSO]],'[1]POS_EAD_0112 a 3101_CAMP. REG)'!$F$690:$N$915,8,FALSE)</f>
        <v>137.4</v>
      </c>
      <c r="BA156" s="72">
        <f>VLOOKUP(UNINASSAU[[#This Row],[CURSO]],'[1]POS_EAD_0112 a 3101_CAMP. REG)'!$F$690:$P$915,11,FALSE)</f>
        <v>0.5</v>
      </c>
      <c r="BB156" s="73">
        <f>VLOOKUP(UNINASSAU[[#This Row],[CURSO]],'[1]POS_EAD_0112 a 3101_CAMP. REG)'!$F$690:$Q$915,12,FALSE)</f>
        <v>124.91</v>
      </c>
      <c r="BD156" s="104">
        <v>153</v>
      </c>
      <c r="BE156" s="121" t="s">
        <v>66</v>
      </c>
      <c r="BF156" s="69" t="s">
        <v>19</v>
      </c>
    </row>
    <row r="157" spans="12:58" x14ac:dyDescent="0.25">
      <c r="L157" s="121" t="s">
        <v>64</v>
      </c>
      <c r="M157" s="69" t="s">
        <v>19</v>
      </c>
      <c r="N157" s="69" t="str">
        <f>VLOOKUP($L$4,'[1]POS_EAD_0112 a 3101_CAMP. REG)'!$F$5:$G$231,2,FALSE)</f>
        <v>Humanas</v>
      </c>
      <c r="O157" s="69">
        <f>VLOOKUP(L157,'[1]POS_EAD_0112 a 3101_CAMP. REG)'!$F$5:$H$231,3,FALSE)</f>
        <v>12</v>
      </c>
      <c r="P157" s="68">
        <f>VLOOKUP(L157,'[1]POS_EAD_0112 a 3101_CAMP. REG)'!$F$5:$I$231,4,FALSE)</f>
        <v>19</v>
      </c>
      <c r="Q157" s="73">
        <f>VLOOKUP(L157,'[1]POS_EAD_0112 a 3101_CAMP. REG)'!$F$5:$J$231,5,FALSE)</f>
        <v>277.58266800000001</v>
      </c>
      <c r="R157" s="124">
        <f>VLOOKUP(L157,'[1]POS_EAD_0112 a 3101_CAMP. REG)'!$F$5:$L$231,7,FALSE)</f>
        <v>0.45</v>
      </c>
      <c r="S157" s="73">
        <f>VLOOKUP(L157,'[1]POS_EAD_0112 a 3101_CAMP. REG)'!$F$5:$M$231,8,FALSE)</f>
        <v>137.4</v>
      </c>
      <c r="T157" s="124">
        <f>VLOOKUP(L157,'[1]POS_EAD_0112 a 3101_CAMP. REG)'!$F$5:$P$231,11,FALSE)</f>
        <v>0.5</v>
      </c>
      <c r="U157" s="73">
        <f>VLOOKUP(L157,'[1]POS_EAD_0112 a 3101_CAMP. REG)'!$F$5:$Q$231,12,FALSE)</f>
        <v>124.91</v>
      </c>
      <c r="W157" s="121" t="s">
        <v>64</v>
      </c>
      <c r="X157" s="69" t="s">
        <v>19</v>
      </c>
      <c r="Y157" s="69" t="str">
        <f>VLOOKUP(W157,'[1]POS_EAD_0112 a 3101_CAMP. REG)'!$F$231:$G$461,2,FALSE)</f>
        <v>Humanas</v>
      </c>
      <c r="Z157" s="68">
        <f>VLOOKUP(W157,'[1]POS_EAD_0112 a 3101_CAMP. REG)'!$F$231:$H$461,3,FALSE)</f>
        <v>12</v>
      </c>
      <c r="AA157" s="68">
        <f>VLOOKUP(W157,'[1]POS_EAD_0112 a 3101_CAMP. REG)'!$F$231:$I$461,4,FALSE)</f>
        <v>19</v>
      </c>
      <c r="AB157" s="73">
        <f>VLOOKUP(W157,'[1]POS_EAD_0112 a 3101_CAMP. REG)'!$F$231:$J$461,5,FALSE)</f>
        <v>300.91749900000002</v>
      </c>
      <c r="AC157" s="72">
        <f>VLOOKUP(W157,'[1]POS_EAD_0112 a 3101_CAMP. REG)'!$F$231:$L$461,7,FALSE)</f>
        <v>0.45</v>
      </c>
      <c r="AD157" s="73">
        <f>VLOOKUP(W157,'[1]POS_EAD_0112 a 3101_CAMP. REG)'!$F$231:$M$461,8,FALSE)</f>
        <v>148.94999999999999</v>
      </c>
      <c r="AE157" s="72">
        <f>VLOOKUP(W157,'[1]POS_EAD_0112 a 3101_CAMP. REG)'!$F$231:$P$461,11,FALSE)</f>
        <v>0.5</v>
      </c>
      <c r="AF157" s="73">
        <f>VLOOKUP(W157,'[1]POS_EAD_0112 a 3101_CAMP. REG)'!$F$231:$Q$461,12,FALSE)</f>
        <v>135.41</v>
      </c>
      <c r="AH157" s="121" t="s">
        <v>64</v>
      </c>
      <c r="AI157" s="69" t="s">
        <v>19</v>
      </c>
      <c r="AJ157" s="68" t="str">
        <f>VLOOKUP(UNG[[#This Row],[CURSO]],'[1]POS_EAD_0112 a 3101_CAMP. REG)'!$F$463:$G$688,2,FALSE)</f>
        <v>Humanas</v>
      </c>
      <c r="AK157" s="68">
        <f>VLOOKUP(UNG[[#This Row],[CURSO]],'[1]POS_EAD_0112 a 3101_CAMP. REG)'!$F$463:$H$688,3,FALSE)</f>
        <v>12</v>
      </c>
      <c r="AL157" s="68">
        <f>VLOOKUP(UNG[[#This Row],[CURSO]],'[1]POS_EAD_0112 a 3101_CAMP. REG)'!$F$463:$I$688,4,FALSE)</f>
        <v>19</v>
      </c>
      <c r="AM157" s="71">
        <f>VLOOKUP(UNG[[#This Row],[CURSO]],'[1]POS_EAD_0112 a 3101_CAMP. REG)'!$F$463:$J$688,5,FALSE)</f>
        <v>277.58266800000001</v>
      </c>
      <c r="AN157" s="124">
        <f>VLOOKUP(UNG[[#This Row],[CURSO]],'[1]POS_EAD_0112 a 3101_CAMP. REG)'!$F$463:$L$688,7,FALSE)</f>
        <v>0.45</v>
      </c>
      <c r="AO157" s="71">
        <f>VLOOKUP(UNG[[#This Row],[CURSO]],'[1]POS_EAD_0112 a 3101_CAMP. REG)'!$F$463:$M$688,8,FALSE)</f>
        <v>137.4</v>
      </c>
      <c r="AP157" s="124">
        <f>VLOOKUP(UNG[[#This Row],[CURSO]],'[1]POS_EAD_0112 a 3101_CAMP. REG)'!$F$463:$P$688,11,FALSE)</f>
        <v>0.5</v>
      </c>
      <c r="AQ157" s="71">
        <f>VLOOKUP(UNG[[#This Row],[CURSO]],'[1]POS_EAD_0112 a 3101_CAMP. REG)'!$F$463:$Q$688,12,FALSE)</f>
        <v>124.91</v>
      </c>
      <c r="AS157" s="121" t="s">
        <v>64</v>
      </c>
      <c r="AT157" s="69" t="s">
        <v>19</v>
      </c>
      <c r="AU157" s="69" t="str">
        <f>VLOOKUP(UNINASSAU[[#This Row],[CURSO]],'[1]POS_EAD_0112 a 3101_CAMP. REG)'!$F$690:$G$915,2,FALSE)</f>
        <v>Humanas</v>
      </c>
      <c r="AV157" s="69">
        <f>VLOOKUP(UNINASSAU[[#This Row],[CURSO]],'[1]POS_EAD_0112 a 3101_CAMP. REG)'!$F$690:$H$915,3,FALSE)</f>
        <v>12</v>
      </c>
      <c r="AW157" s="69">
        <f>VLOOKUP(UNINASSAU[[#This Row],[CURSO]],'[1]POS_EAD_0112 a 3101_CAMP. REG)'!$F$690:$I$915,4,FALSE)</f>
        <v>19</v>
      </c>
      <c r="AX157" s="73">
        <f>VLOOKUP(UNINASSAU[[#This Row],[CURSO]],'[1]POS_EAD_0112 a 3101_CAMP. REG)'!$F$690:$J$915,5,FALSE)</f>
        <v>277.58266800000001</v>
      </c>
      <c r="AY157" s="72">
        <f>VLOOKUP(UNINASSAU[[#This Row],[CURSO]],'[1]POS_EAD_0112 a 3101_CAMP. REG)'!$F$690:$L$915,7,FALSE)</f>
        <v>0.45</v>
      </c>
      <c r="AZ157" s="73">
        <f>VLOOKUP(UNINASSAU[[#This Row],[CURSO]],'[1]POS_EAD_0112 a 3101_CAMP. REG)'!$F$690:$N$915,8,FALSE)</f>
        <v>137.4</v>
      </c>
      <c r="BA157" s="72">
        <f>VLOOKUP(UNINASSAU[[#This Row],[CURSO]],'[1]POS_EAD_0112 a 3101_CAMP. REG)'!$F$690:$P$915,11,FALSE)</f>
        <v>0.5</v>
      </c>
      <c r="BB157" s="73">
        <f>VLOOKUP(UNINASSAU[[#This Row],[CURSO]],'[1]POS_EAD_0112 a 3101_CAMP. REG)'!$F$690:$Q$915,12,FALSE)</f>
        <v>124.91</v>
      </c>
      <c r="BD157" s="104">
        <v>154</v>
      </c>
      <c r="BE157" s="121" t="s">
        <v>64</v>
      </c>
      <c r="BF157" s="69" t="s">
        <v>19</v>
      </c>
    </row>
    <row r="158" spans="12:58" x14ac:dyDescent="0.25">
      <c r="L158" s="121" t="s">
        <v>188</v>
      </c>
      <c r="M158" s="69" t="s">
        <v>19</v>
      </c>
      <c r="N158" s="69" t="str">
        <f>VLOOKUP($L$4,'[1]POS_EAD_0112 a 3101_CAMP. REG)'!$F$5:$G$231,2,FALSE)</f>
        <v>Humanas</v>
      </c>
      <c r="O158" s="69">
        <f>VLOOKUP(L158,'[1]POS_EAD_0112 a 3101_CAMP. REG)'!$F$5:$H$231,3,FALSE)</f>
        <v>12</v>
      </c>
      <c r="P158" s="68">
        <f>VLOOKUP(L158,'[1]POS_EAD_0112 a 3101_CAMP. REG)'!$F$5:$I$231,4,FALSE)</f>
        <v>19</v>
      </c>
      <c r="Q158" s="73">
        <f>VLOOKUP(L158,'[1]POS_EAD_0112 a 3101_CAMP. REG)'!$F$5:$J$231,5,FALSE)</f>
        <v>277.58266800000001</v>
      </c>
      <c r="R158" s="124">
        <f>VLOOKUP(L158,'[1]POS_EAD_0112 a 3101_CAMP. REG)'!$F$5:$L$231,7,FALSE)</f>
        <v>0.45</v>
      </c>
      <c r="S158" s="73">
        <f>VLOOKUP(L158,'[1]POS_EAD_0112 a 3101_CAMP. REG)'!$F$5:$M$231,8,FALSE)</f>
        <v>137.4</v>
      </c>
      <c r="T158" s="124">
        <f>VLOOKUP(L158,'[1]POS_EAD_0112 a 3101_CAMP. REG)'!$F$5:$P$231,11,FALSE)</f>
        <v>0.5</v>
      </c>
      <c r="U158" s="73">
        <f>VLOOKUP(L158,'[1]POS_EAD_0112 a 3101_CAMP. REG)'!$F$5:$Q$231,12,FALSE)</f>
        <v>124.91</v>
      </c>
      <c r="W158" s="121" t="s">
        <v>188</v>
      </c>
      <c r="X158" s="69" t="s">
        <v>19</v>
      </c>
      <c r="Y158" s="69" t="str">
        <f>VLOOKUP(W158,'[1]POS_EAD_0112 a 3101_CAMP. REG)'!$F$231:$G$461,2,FALSE)</f>
        <v>Saúde</v>
      </c>
      <c r="Z158" s="68">
        <f>VLOOKUP(W158,'[1]POS_EAD_0112 a 3101_CAMP. REG)'!$F$231:$H$461,3,FALSE)</f>
        <v>12</v>
      </c>
      <c r="AA158" s="68">
        <f>VLOOKUP(W158,'[1]POS_EAD_0112 a 3101_CAMP. REG)'!$F$231:$I$461,4,FALSE)</f>
        <v>19</v>
      </c>
      <c r="AB158" s="73">
        <f>VLOOKUP(W158,'[1]POS_EAD_0112 a 3101_CAMP. REG)'!$F$231:$J$461,5,FALSE)</f>
        <v>300.91749900000002</v>
      </c>
      <c r="AC158" s="72">
        <f>VLOOKUP(W158,'[1]POS_EAD_0112 a 3101_CAMP. REG)'!$F$231:$L$461,7,FALSE)</f>
        <v>0.45</v>
      </c>
      <c r="AD158" s="73">
        <f>VLOOKUP(W158,'[1]POS_EAD_0112 a 3101_CAMP. REG)'!$F$231:$M$461,8,FALSE)</f>
        <v>148.94999999999999</v>
      </c>
      <c r="AE158" s="72">
        <f>VLOOKUP(W158,'[1]POS_EAD_0112 a 3101_CAMP. REG)'!$F$231:$P$461,11,FALSE)</f>
        <v>0.5</v>
      </c>
      <c r="AF158" s="73">
        <f>VLOOKUP(W158,'[1]POS_EAD_0112 a 3101_CAMP. REG)'!$F$231:$Q$461,12,FALSE)</f>
        <v>135.41</v>
      </c>
      <c r="AH158" s="121" t="s">
        <v>188</v>
      </c>
      <c r="AI158" s="69" t="s">
        <v>19</v>
      </c>
      <c r="AJ158" s="68" t="str">
        <f>VLOOKUP(UNG[[#This Row],[CURSO]],'[1]POS_EAD_0112 a 3101_CAMP. REG)'!$F$463:$G$688,2,FALSE)</f>
        <v>Saúde</v>
      </c>
      <c r="AK158" s="68">
        <f>VLOOKUP(UNG[[#This Row],[CURSO]],'[1]POS_EAD_0112 a 3101_CAMP. REG)'!$F$463:$H$688,3,FALSE)</f>
        <v>12</v>
      </c>
      <c r="AL158" s="68">
        <f>VLOOKUP(UNG[[#This Row],[CURSO]],'[1]POS_EAD_0112 a 3101_CAMP. REG)'!$F$463:$I$688,4,FALSE)</f>
        <v>19</v>
      </c>
      <c r="AM158" s="71">
        <f>VLOOKUP(UNG[[#This Row],[CURSO]],'[1]POS_EAD_0112 a 3101_CAMP. REG)'!$F$463:$J$688,5,FALSE)</f>
        <v>277.58266800000001</v>
      </c>
      <c r="AN158" s="124">
        <f>VLOOKUP(UNG[[#This Row],[CURSO]],'[1]POS_EAD_0112 a 3101_CAMP. REG)'!$F$463:$L$688,7,FALSE)</f>
        <v>0.45</v>
      </c>
      <c r="AO158" s="71">
        <f>VLOOKUP(UNG[[#This Row],[CURSO]],'[1]POS_EAD_0112 a 3101_CAMP. REG)'!$F$463:$M$688,8,FALSE)</f>
        <v>137.4</v>
      </c>
      <c r="AP158" s="124">
        <f>VLOOKUP(UNG[[#This Row],[CURSO]],'[1]POS_EAD_0112 a 3101_CAMP. REG)'!$F$463:$P$688,11,FALSE)</f>
        <v>0.5</v>
      </c>
      <c r="AQ158" s="71">
        <f>VLOOKUP(UNG[[#This Row],[CURSO]],'[1]POS_EAD_0112 a 3101_CAMP. REG)'!$F$463:$Q$688,12,FALSE)</f>
        <v>124.91</v>
      </c>
      <c r="AS158" s="121" t="s">
        <v>188</v>
      </c>
      <c r="AT158" s="69" t="s">
        <v>19</v>
      </c>
      <c r="AU158" s="69" t="str">
        <f>VLOOKUP(UNINASSAU[[#This Row],[CURSO]],'[1]POS_EAD_0112 a 3101_CAMP. REG)'!$F$690:$G$915,2,FALSE)</f>
        <v>Saúde</v>
      </c>
      <c r="AV158" s="69">
        <f>VLOOKUP(UNINASSAU[[#This Row],[CURSO]],'[1]POS_EAD_0112 a 3101_CAMP. REG)'!$F$690:$H$915,3,FALSE)</f>
        <v>12</v>
      </c>
      <c r="AW158" s="69">
        <f>VLOOKUP(UNINASSAU[[#This Row],[CURSO]],'[1]POS_EAD_0112 a 3101_CAMP. REG)'!$F$690:$I$915,4,FALSE)</f>
        <v>19</v>
      </c>
      <c r="AX158" s="73">
        <f>VLOOKUP(UNINASSAU[[#This Row],[CURSO]],'[1]POS_EAD_0112 a 3101_CAMP. REG)'!$F$690:$J$915,5,FALSE)</f>
        <v>277.58266800000001</v>
      </c>
      <c r="AY158" s="72">
        <f>VLOOKUP(UNINASSAU[[#This Row],[CURSO]],'[1]POS_EAD_0112 a 3101_CAMP. REG)'!$F$690:$L$915,7,FALSE)</f>
        <v>0.45</v>
      </c>
      <c r="AZ158" s="73">
        <f>VLOOKUP(UNINASSAU[[#This Row],[CURSO]],'[1]POS_EAD_0112 a 3101_CAMP. REG)'!$F$690:$N$915,8,FALSE)</f>
        <v>137.4</v>
      </c>
      <c r="BA158" s="72">
        <f>VLOOKUP(UNINASSAU[[#This Row],[CURSO]],'[1]POS_EAD_0112 a 3101_CAMP. REG)'!$F$690:$P$915,11,FALSE)</f>
        <v>0.5</v>
      </c>
      <c r="BB158" s="73">
        <f>VLOOKUP(UNINASSAU[[#This Row],[CURSO]],'[1]POS_EAD_0112 a 3101_CAMP. REG)'!$F$690:$Q$915,12,FALSE)</f>
        <v>124.91</v>
      </c>
      <c r="BD158" s="104">
        <v>155</v>
      </c>
      <c r="BE158" s="121" t="s">
        <v>188</v>
      </c>
      <c r="BF158" s="69" t="s">
        <v>19</v>
      </c>
    </row>
    <row r="159" spans="12:58" x14ac:dyDescent="0.25">
      <c r="L159" s="121" t="s">
        <v>67</v>
      </c>
      <c r="M159" s="69" t="s">
        <v>19</v>
      </c>
      <c r="N159" s="69" t="str">
        <f>VLOOKUP($L$4,'[1]POS_EAD_0112 a 3101_CAMP. REG)'!$F$5:$G$231,2,FALSE)</f>
        <v>Humanas</v>
      </c>
      <c r="O159" s="69">
        <f>VLOOKUP(L159,'[1]POS_EAD_0112 a 3101_CAMP. REG)'!$F$5:$H$231,3,FALSE)</f>
        <v>12</v>
      </c>
      <c r="P159" s="68">
        <f>VLOOKUP(L159,'[1]POS_EAD_0112 a 3101_CAMP. REG)'!$F$5:$I$231,4,FALSE)</f>
        <v>19</v>
      </c>
      <c r="Q159" s="73">
        <f>VLOOKUP(L159,'[1]POS_EAD_0112 a 3101_CAMP. REG)'!$F$5:$J$231,5,FALSE)</f>
        <v>277.58266800000001</v>
      </c>
      <c r="R159" s="124">
        <f>VLOOKUP(L159,'[1]POS_EAD_0112 a 3101_CAMP. REG)'!$F$5:$L$231,7,FALSE)</f>
        <v>0.45</v>
      </c>
      <c r="S159" s="73">
        <f>VLOOKUP(L159,'[1]POS_EAD_0112 a 3101_CAMP. REG)'!$F$5:$M$231,8,FALSE)</f>
        <v>137.4</v>
      </c>
      <c r="T159" s="124">
        <f>VLOOKUP(L159,'[1]POS_EAD_0112 a 3101_CAMP. REG)'!$F$5:$P$231,11,FALSE)</f>
        <v>0.5</v>
      </c>
      <c r="U159" s="73">
        <f>VLOOKUP(L159,'[1]POS_EAD_0112 a 3101_CAMP. REG)'!$F$5:$Q$231,12,FALSE)</f>
        <v>124.91</v>
      </c>
      <c r="W159" s="121" t="s">
        <v>67</v>
      </c>
      <c r="X159" s="69" t="s">
        <v>19</v>
      </c>
      <c r="Y159" s="69" t="str">
        <f>VLOOKUP(W159,'[1]POS_EAD_0112 a 3101_CAMP. REG)'!$F$231:$G$461,2,FALSE)</f>
        <v>Humanas</v>
      </c>
      <c r="Z159" s="68">
        <f>VLOOKUP(W159,'[1]POS_EAD_0112 a 3101_CAMP. REG)'!$F$231:$H$461,3,FALSE)</f>
        <v>12</v>
      </c>
      <c r="AA159" s="68">
        <f>VLOOKUP(W159,'[1]POS_EAD_0112 a 3101_CAMP. REG)'!$F$231:$I$461,4,FALSE)</f>
        <v>19</v>
      </c>
      <c r="AB159" s="73">
        <f>VLOOKUP(W159,'[1]POS_EAD_0112 a 3101_CAMP. REG)'!$F$231:$J$461,5,FALSE)</f>
        <v>300.91749900000002</v>
      </c>
      <c r="AC159" s="72">
        <f>VLOOKUP(W159,'[1]POS_EAD_0112 a 3101_CAMP. REG)'!$F$231:$L$461,7,FALSE)</f>
        <v>0.45</v>
      </c>
      <c r="AD159" s="73">
        <f>VLOOKUP(W159,'[1]POS_EAD_0112 a 3101_CAMP. REG)'!$F$231:$M$461,8,FALSE)</f>
        <v>148.94999999999999</v>
      </c>
      <c r="AE159" s="72">
        <f>VLOOKUP(W159,'[1]POS_EAD_0112 a 3101_CAMP. REG)'!$F$231:$P$461,11,FALSE)</f>
        <v>0.5</v>
      </c>
      <c r="AF159" s="73">
        <f>VLOOKUP(W159,'[1]POS_EAD_0112 a 3101_CAMP. REG)'!$F$231:$Q$461,12,FALSE)</f>
        <v>135.41</v>
      </c>
      <c r="AH159" s="121" t="s">
        <v>67</v>
      </c>
      <c r="AI159" s="69" t="s">
        <v>19</v>
      </c>
      <c r="AJ159" s="68" t="str">
        <f>VLOOKUP(UNG[[#This Row],[CURSO]],'[1]POS_EAD_0112 a 3101_CAMP. REG)'!$F$463:$G$688,2,FALSE)</f>
        <v>Humanas</v>
      </c>
      <c r="AK159" s="68">
        <f>VLOOKUP(UNG[[#This Row],[CURSO]],'[1]POS_EAD_0112 a 3101_CAMP. REG)'!$F$463:$H$688,3,FALSE)</f>
        <v>12</v>
      </c>
      <c r="AL159" s="68">
        <f>VLOOKUP(UNG[[#This Row],[CURSO]],'[1]POS_EAD_0112 a 3101_CAMP. REG)'!$F$463:$I$688,4,FALSE)</f>
        <v>19</v>
      </c>
      <c r="AM159" s="71">
        <f>VLOOKUP(UNG[[#This Row],[CURSO]],'[1]POS_EAD_0112 a 3101_CAMP. REG)'!$F$463:$J$688,5,FALSE)</f>
        <v>277.58266800000001</v>
      </c>
      <c r="AN159" s="124">
        <f>VLOOKUP(UNG[[#This Row],[CURSO]],'[1]POS_EAD_0112 a 3101_CAMP. REG)'!$F$463:$L$688,7,FALSE)</f>
        <v>0.45</v>
      </c>
      <c r="AO159" s="71">
        <f>VLOOKUP(UNG[[#This Row],[CURSO]],'[1]POS_EAD_0112 a 3101_CAMP. REG)'!$F$463:$M$688,8,FALSE)</f>
        <v>137.4</v>
      </c>
      <c r="AP159" s="124">
        <f>VLOOKUP(UNG[[#This Row],[CURSO]],'[1]POS_EAD_0112 a 3101_CAMP. REG)'!$F$463:$P$688,11,FALSE)</f>
        <v>0.5</v>
      </c>
      <c r="AQ159" s="71">
        <f>VLOOKUP(UNG[[#This Row],[CURSO]],'[1]POS_EAD_0112 a 3101_CAMP. REG)'!$F$463:$Q$688,12,FALSE)</f>
        <v>124.91</v>
      </c>
      <c r="AS159" s="121" t="s">
        <v>67</v>
      </c>
      <c r="AT159" s="69" t="s">
        <v>19</v>
      </c>
      <c r="AU159" s="69" t="str">
        <f>VLOOKUP(UNINASSAU[[#This Row],[CURSO]],'[1]POS_EAD_0112 a 3101_CAMP. REG)'!$F$690:$G$915,2,FALSE)</f>
        <v>Humanas</v>
      </c>
      <c r="AV159" s="69">
        <f>VLOOKUP(UNINASSAU[[#This Row],[CURSO]],'[1]POS_EAD_0112 a 3101_CAMP. REG)'!$F$690:$H$915,3,FALSE)</f>
        <v>12</v>
      </c>
      <c r="AW159" s="69">
        <f>VLOOKUP(UNINASSAU[[#This Row],[CURSO]],'[1]POS_EAD_0112 a 3101_CAMP. REG)'!$F$690:$I$915,4,FALSE)</f>
        <v>19</v>
      </c>
      <c r="AX159" s="73">
        <f>VLOOKUP(UNINASSAU[[#This Row],[CURSO]],'[1]POS_EAD_0112 a 3101_CAMP. REG)'!$F$690:$J$915,5,FALSE)</f>
        <v>277.58266800000001</v>
      </c>
      <c r="AY159" s="72">
        <f>VLOOKUP(UNINASSAU[[#This Row],[CURSO]],'[1]POS_EAD_0112 a 3101_CAMP. REG)'!$F$690:$L$915,7,FALSE)</f>
        <v>0.45</v>
      </c>
      <c r="AZ159" s="73">
        <f>VLOOKUP(UNINASSAU[[#This Row],[CURSO]],'[1]POS_EAD_0112 a 3101_CAMP. REG)'!$F$690:$N$915,8,FALSE)</f>
        <v>137.4</v>
      </c>
      <c r="BA159" s="72">
        <f>VLOOKUP(UNINASSAU[[#This Row],[CURSO]],'[1]POS_EAD_0112 a 3101_CAMP. REG)'!$F$690:$P$915,11,FALSE)</f>
        <v>0.5</v>
      </c>
      <c r="BB159" s="73">
        <f>VLOOKUP(UNINASSAU[[#This Row],[CURSO]],'[1]POS_EAD_0112 a 3101_CAMP. REG)'!$F$690:$Q$915,12,FALSE)</f>
        <v>124.91</v>
      </c>
      <c r="BD159" s="104">
        <v>156</v>
      </c>
      <c r="BE159" s="121" t="s">
        <v>67</v>
      </c>
      <c r="BF159" s="69" t="s">
        <v>19</v>
      </c>
    </row>
    <row r="160" spans="12:58" x14ac:dyDescent="0.25">
      <c r="L160" s="121" t="s">
        <v>84</v>
      </c>
      <c r="M160" s="69" t="s">
        <v>19</v>
      </c>
      <c r="N160" s="69" t="str">
        <f>VLOOKUP($L$4,'[1]POS_EAD_0112 a 3101_CAMP. REG)'!$F$5:$G$231,2,FALSE)</f>
        <v>Humanas</v>
      </c>
      <c r="O160" s="69">
        <f>VLOOKUP(L160,'[1]POS_EAD_0112 a 3101_CAMP. REG)'!$F$5:$H$231,3,FALSE)</f>
        <v>12</v>
      </c>
      <c r="P160" s="68">
        <f>VLOOKUP(L160,'[1]POS_EAD_0112 a 3101_CAMP. REG)'!$F$5:$I$231,4,FALSE)</f>
        <v>19</v>
      </c>
      <c r="Q160" s="73">
        <f>VLOOKUP(L160,'[1]POS_EAD_0112 a 3101_CAMP. REG)'!$F$5:$J$231,5,FALSE)</f>
        <v>184.28091221052631</v>
      </c>
      <c r="R160" s="124">
        <f>VLOOKUP(L160,'[1]POS_EAD_0112 a 3101_CAMP. REG)'!$F$5:$L$231,7,FALSE)</f>
        <v>0.45</v>
      </c>
      <c r="S160" s="73">
        <f>VLOOKUP(L160,'[1]POS_EAD_0112 a 3101_CAMP. REG)'!$F$5:$M$231,8,FALSE)</f>
        <v>91.22</v>
      </c>
      <c r="T160" s="124">
        <f>VLOOKUP(L160,'[1]POS_EAD_0112 a 3101_CAMP. REG)'!$F$5:$P$231,11,FALSE)</f>
        <v>0.5</v>
      </c>
      <c r="U160" s="73">
        <f>VLOOKUP(L160,'[1]POS_EAD_0112 a 3101_CAMP. REG)'!$F$5:$Q$231,12,FALSE)</f>
        <v>82.93</v>
      </c>
      <c r="W160" s="121" t="s">
        <v>84</v>
      </c>
      <c r="X160" s="69" t="s">
        <v>19</v>
      </c>
      <c r="Y160" s="69" t="str">
        <f>VLOOKUP(W160,'[1]POS_EAD_0112 a 3101_CAMP. REG)'!$F$231:$G$461,2,FALSE)</f>
        <v>Humanas</v>
      </c>
      <c r="Z160" s="68">
        <f>VLOOKUP(W160,'[1]POS_EAD_0112 a 3101_CAMP. REG)'!$F$231:$H$461,3,FALSE)</f>
        <v>12</v>
      </c>
      <c r="AA160" s="68">
        <f>VLOOKUP(W160,'[1]POS_EAD_0112 a 3101_CAMP. REG)'!$F$231:$I$461,4,FALSE)</f>
        <v>19</v>
      </c>
      <c r="AB160" s="73">
        <f>VLOOKUP(W160,'[1]POS_EAD_0112 a 3101_CAMP. REG)'!$F$231:$J$461,5,FALSE)</f>
        <v>207.609666</v>
      </c>
      <c r="AC160" s="72">
        <f>VLOOKUP(W160,'[1]POS_EAD_0112 a 3101_CAMP. REG)'!$F$231:$L$461,7,FALSE)</f>
        <v>0.45</v>
      </c>
      <c r="AD160" s="73">
        <f>VLOOKUP(W160,'[1]POS_EAD_0112 a 3101_CAMP. REG)'!$F$231:$M$461,8,FALSE)</f>
        <v>102.77</v>
      </c>
      <c r="AE160" s="72">
        <f>VLOOKUP(W160,'[1]POS_EAD_0112 a 3101_CAMP. REG)'!$F$231:$P$461,11,FALSE)</f>
        <v>0.5</v>
      </c>
      <c r="AF160" s="73">
        <f>VLOOKUP(W160,'[1]POS_EAD_0112 a 3101_CAMP. REG)'!$F$231:$Q$461,12,FALSE)</f>
        <v>93.42</v>
      </c>
      <c r="AH160" s="121" t="s">
        <v>84</v>
      </c>
      <c r="AI160" s="69" t="s">
        <v>19</v>
      </c>
      <c r="AJ160" s="68" t="str">
        <f>VLOOKUP(UNG[[#This Row],[CURSO]],'[1]POS_EAD_0112 a 3101_CAMP. REG)'!$F$463:$G$688,2,FALSE)</f>
        <v>Humanas</v>
      </c>
      <c r="AK160" s="68">
        <f>VLOOKUP(UNG[[#This Row],[CURSO]],'[1]POS_EAD_0112 a 3101_CAMP. REG)'!$F$463:$H$688,3,FALSE)</f>
        <v>12</v>
      </c>
      <c r="AL160" s="68">
        <f>VLOOKUP(UNG[[#This Row],[CURSO]],'[1]POS_EAD_0112 a 3101_CAMP. REG)'!$F$463:$I$688,4,FALSE)</f>
        <v>19</v>
      </c>
      <c r="AM160" s="71">
        <f>VLOOKUP(UNG[[#This Row],[CURSO]],'[1]POS_EAD_0112 a 3101_CAMP. REG)'!$F$463:$J$688,5,FALSE)</f>
        <v>184.28091221052631</v>
      </c>
      <c r="AN160" s="124">
        <f>VLOOKUP(UNG[[#This Row],[CURSO]],'[1]POS_EAD_0112 a 3101_CAMP. REG)'!$F$463:$L$688,7,FALSE)</f>
        <v>0.45</v>
      </c>
      <c r="AO160" s="71">
        <f>VLOOKUP(UNG[[#This Row],[CURSO]],'[1]POS_EAD_0112 a 3101_CAMP. REG)'!$F$463:$M$688,8,FALSE)</f>
        <v>91.22</v>
      </c>
      <c r="AP160" s="124">
        <f>VLOOKUP(UNG[[#This Row],[CURSO]],'[1]POS_EAD_0112 a 3101_CAMP. REG)'!$F$463:$P$688,11,FALSE)</f>
        <v>0.5</v>
      </c>
      <c r="AQ160" s="71">
        <f>VLOOKUP(UNG[[#This Row],[CURSO]],'[1]POS_EAD_0112 a 3101_CAMP. REG)'!$F$463:$Q$688,12,FALSE)</f>
        <v>82.93</v>
      </c>
      <c r="AS160" s="121" t="s">
        <v>84</v>
      </c>
      <c r="AT160" s="69" t="s">
        <v>19</v>
      </c>
      <c r="AU160" s="69" t="str">
        <f>VLOOKUP(UNINASSAU[[#This Row],[CURSO]],'[1]POS_EAD_0112 a 3101_CAMP. REG)'!$F$690:$G$915,2,FALSE)</f>
        <v>Humanas</v>
      </c>
      <c r="AV160" s="69">
        <f>VLOOKUP(UNINASSAU[[#This Row],[CURSO]],'[1]POS_EAD_0112 a 3101_CAMP. REG)'!$F$690:$H$915,3,FALSE)</f>
        <v>12</v>
      </c>
      <c r="AW160" s="69">
        <f>VLOOKUP(UNINASSAU[[#This Row],[CURSO]],'[1]POS_EAD_0112 a 3101_CAMP. REG)'!$F$690:$I$915,4,FALSE)</f>
        <v>19</v>
      </c>
      <c r="AX160" s="73">
        <f>VLOOKUP(UNINASSAU[[#This Row],[CURSO]],'[1]POS_EAD_0112 a 3101_CAMP. REG)'!$F$690:$J$915,5,FALSE)</f>
        <v>184.28091221052631</v>
      </c>
      <c r="AY160" s="72">
        <f>VLOOKUP(UNINASSAU[[#This Row],[CURSO]],'[1]POS_EAD_0112 a 3101_CAMP. REG)'!$F$690:$L$915,7,FALSE)</f>
        <v>0.45</v>
      </c>
      <c r="AZ160" s="73">
        <f>VLOOKUP(UNINASSAU[[#This Row],[CURSO]],'[1]POS_EAD_0112 a 3101_CAMP. REG)'!$F$690:$N$915,8,FALSE)</f>
        <v>91.22</v>
      </c>
      <c r="BA160" s="72">
        <f>VLOOKUP(UNINASSAU[[#This Row],[CURSO]],'[1]POS_EAD_0112 a 3101_CAMP. REG)'!$F$690:$P$915,11,FALSE)</f>
        <v>0.5</v>
      </c>
      <c r="BB160" s="73">
        <f>VLOOKUP(UNINASSAU[[#This Row],[CURSO]],'[1]POS_EAD_0112 a 3101_CAMP. REG)'!$F$690:$Q$915,12,FALSE)</f>
        <v>82.93</v>
      </c>
      <c r="BD160" s="104">
        <v>157</v>
      </c>
      <c r="BE160" s="121" t="s">
        <v>84</v>
      </c>
      <c r="BF160" s="69" t="s">
        <v>19</v>
      </c>
    </row>
    <row r="161" spans="12:58" x14ac:dyDescent="0.25">
      <c r="L161" s="121" t="s">
        <v>145</v>
      </c>
      <c r="M161" s="69" t="s">
        <v>19</v>
      </c>
      <c r="N161" s="69" t="str">
        <f>VLOOKUP($L$4,'[1]POS_EAD_0112 a 3101_CAMP. REG)'!$F$5:$G$231,2,FALSE)</f>
        <v>Humanas</v>
      </c>
      <c r="O161" s="69">
        <f>VLOOKUP(L161,'[1]POS_EAD_0112 a 3101_CAMP. REG)'!$F$5:$H$231,3,FALSE)</f>
        <v>12</v>
      </c>
      <c r="P161" s="68">
        <f>VLOOKUP(L161,'[1]POS_EAD_0112 a 3101_CAMP. REG)'!$F$5:$I$231,4,FALSE)</f>
        <v>19</v>
      </c>
      <c r="Q161" s="73">
        <f>VLOOKUP(L161,'[1]POS_EAD_0112 a 3101_CAMP. REG)'!$F$5:$J$231,5,FALSE)</f>
        <v>184.28091221052631</v>
      </c>
      <c r="R161" s="124">
        <f>VLOOKUP(L161,'[1]POS_EAD_0112 a 3101_CAMP. REG)'!$F$5:$L$231,7,FALSE)</f>
        <v>0.45</v>
      </c>
      <c r="S161" s="73">
        <f>VLOOKUP(L161,'[1]POS_EAD_0112 a 3101_CAMP. REG)'!$F$5:$M$231,8,FALSE)</f>
        <v>91.22</v>
      </c>
      <c r="T161" s="124">
        <f>VLOOKUP(L161,'[1]POS_EAD_0112 a 3101_CAMP. REG)'!$F$5:$P$231,11,FALSE)</f>
        <v>0.5</v>
      </c>
      <c r="U161" s="73">
        <f>VLOOKUP(L161,'[1]POS_EAD_0112 a 3101_CAMP. REG)'!$F$5:$Q$231,12,FALSE)</f>
        <v>82.93</v>
      </c>
      <c r="W161" s="121" t="s">
        <v>145</v>
      </c>
      <c r="X161" s="69" t="s">
        <v>19</v>
      </c>
      <c r="Y161" s="69" t="str">
        <f>VLOOKUP(W161,'[1]POS_EAD_0112 a 3101_CAMP. REG)'!$F$231:$G$461,2,FALSE)</f>
        <v>Humanas</v>
      </c>
      <c r="Z161" s="68">
        <f>VLOOKUP(W161,'[1]POS_EAD_0112 a 3101_CAMP. REG)'!$F$231:$H$461,3,FALSE)</f>
        <v>12</v>
      </c>
      <c r="AA161" s="68">
        <f>VLOOKUP(W161,'[1]POS_EAD_0112 a 3101_CAMP. REG)'!$F$231:$I$461,4,FALSE)</f>
        <v>19</v>
      </c>
      <c r="AB161" s="73">
        <f>VLOOKUP(W161,'[1]POS_EAD_0112 a 3101_CAMP. REG)'!$F$231:$J$461,5,FALSE)</f>
        <v>207.609666</v>
      </c>
      <c r="AC161" s="72">
        <f>VLOOKUP(W161,'[1]POS_EAD_0112 a 3101_CAMP. REG)'!$F$231:$L$461,7,FALSE)</f>
        <v>0.45</v>
      </c>
      <c r="AD161" s="73">
        <f>VLOOKUP(W161,'[1]POS_EAD_0112 a 3101_CAMP. REG)'!$F$231:$M$461,8,FALSE)</f>
        <v>102.77</v>
      </c>
      <c r="AE161" s="72">
        <f>VLOOKUP(W161,'[1]POS_EAD_0112 a 3101_CAMP. REG)'!$F$231:$P$461,11,FALSE)</f>
        <v>0.5</v>
      </c>
      <c r="AF161" s="73">
        <f>VLOOKUP(W161,'[1]POS_EAD_0112 a 3101_CAMP. REG)'!$F$231:$Q$461,12,FALSE)</f>
        <v>93.42</v>
      </c>
      <c r="AH161" s="121" t="s">
        <v>145</v>
      </c>
      <c r="AI161" s="69" t="s">
        <v>19</v>
      </c>
      <c r="AJ161" s="68" t="str">
        <f>VLOOKUP(UNG[[#This Row],[CURSO]],'[1]POS_EAD_0112 a 3101_CAMP. REG)'!$F$463:$G$688,2,FALSE)</f>
        <v>Humanas</v>
      </c>
      <c r="AK161" s="68">
        <f>VLOOKUP(UNG[[#This Row],[CURSO]],'[1]POS_EAD_0112 a 3101_CAMP. REG)'!$F$463:$H$688,3,FALSE)</f>
        <v>12</v>
      </c>
      <c r="AL161" s="68">
        <f>VLOOKUP(UNG[[#This Row],[CURSO]],'[1]POS_EAD_0112 a 3101_CAMP. REG)'!$F$463:$I$688,4,FALSE)</f>
        <v>19</v>
      </c>
      <c r="AM161" s="71">
        <f>VLOOKUP(UNG[[#This Row],[CURSO]],'[1]POS_EAD_0112 a 3101_CAMP. REG)'!$F$463:$J$688,5,FALSE)</f>
        <v>184.28091221052631</v>
      </c>
      <c r="AN161" s="124">
        <f>VLOOKUP(UNG[[#This Row],[CURSO]],'[1]POS_EAD_0112 a 3101_CAMP. REG)'!$F$463:$L$688,7,FALSE)</f>
        <v>0.45</v>
      </c>
      <c r="AO161" s="71">
        <f>VLOOKUP(UNG[[#This Row],[CURSO]],'[1]POS_EAD_0112 a 3101_CAMP. REG)'!$F$463:$M$688,8,FALSE)</f>
        <v>91.22</v>
      </c>
      <c r="AP161" s="124">
        <f>VLOOKUP(UNG[[#This Row],[CURSO]],'[1]POS_EAD_0112 a 3101_CAMP. REG)'!$F$463:$P$688,11,FALSE)</f>
        <v>0.5</v>
      </c>
      <c r="AQ161" s="71">
        <f>VLOOKUP(UNG[[#This Row],[CURSO]],'[1]POS_EAD_0112 a 3101_CAMP. REG)'!$F$463:$Q$688,12,FALSE)</f>
        <v>82.93</v>
      </c>
      <c r="AS161" s="121" t="s">
        <v>145</v>
      </c>
      <c r="AT161" s="69" t="s">
        <v>19</v>
      </c>
      <c r="AU161" s="69" t="str">
        <f>VLOOKUP(UNINASSAU[[#This Row],[CURSO]],'[1]POS_EAD_0112 a 3101_CAMP. REG)'!$F$690:$G$915,2,FALSE)</f>
        <v>Humanas</v>
      </c>
      <c r="AV161" s="69">
        <f>VLOOKUP(UNINASSAU[[#This Row],[CURSO]],'[1]POS_EAD_0112 a 3101_CAMP. REG)'!$F$690:$H$915,3,FALSE)</f>
        <v>12</v>
      </c>
      <c r="AW161" s="69">
        <f>VLOOKUP(UNINASSAU[[#This Row],[CURSO]],'[1]POS_EAD_0112 a 3101_CAMP. REG)'!$F$690:$I$915,4,FALSE)</f>
        <v>19</v>
      </c>
      <c r="AX161" s="73">
        <f>VLOOKUP(UNINASSAU[[#This Row],[CURSO]],'[1]POS_EAD_0112 a 3101_CAMP. REG)'!$F$690:$J$915,5,FALSE)</f>
        <v>184.28091221052631</v>
      </c>
      <c r="AY161" s="72">
        <f>VLOOKUP(UNINASSAU[[#This Row],[CURSO]],'[1]POS_EAD_0112 a 3101_CAMP. REG)'!$F$690:$L$915,7,FALSE)</f>
        <v>0.45</v>
      </c>
      <c r="AZ161" s="73">
        <f>VLOOKUP(UNINASSAU[[#This Row],[CURSO]],'[1]POS_EAD_0112 a 3101_CAMP. REG)'!$F$690:$N$915,8,FALSE)</f>
        <v>91.22</v>
      </c>
      <c r="BA161" s="72">
        <f>VLOOKUP(UNINASSAU[[#This Row],[CURSO]],'[1]POS_EAD_0112 a 3101_CAMP. REG)'!$F$690:$P$915,11,FALSE)</f>
        <v>0.5</v>
      </c>
      <c r="BB161" s="73">
        <f>VLOOKUP(UNINASSAU[[#This Row],[CURSO]],'[1]POS_EAD_0112 a 3101_CAMP. REG)'!$F$690:$Q$915,12,FALSE)</f>
        <v>82.93</v>
      </c>
      <c r="BD161" s="104">
        <v>158</v>
      </c>
      <c r="BE161" s="121" t="s">
        <v>145</v>
      </c>
      <c r="BF161" s="69" t="s">
        <v>19</v>
      </c>
    </row>
    <row r="162" spans="12:58" x14ac:dyDescent="0.25">
      <c r="L162" s="121" t="s">
        <v>71</v>
      </c>
      <c r="M162" s="69" t="s">
        <v>19</v>
      </c>
      <c r="N162" s="69" t="str">
        <f>VLOOKUP($L$4,'[1]POS_EAD_0112 a 3101_CAMP. REG)'!$F$5:$G$231,2,FALSE)</f>
        <v>Humanas</v>
      </c>
      <c r="O162" s="69">
        <f>VLOOKUP(L162,'[1]POS_EAD_0112 a 3101_CAMP. REG)'!$F$5:$H$231,3,FALSE)</f>
        <v>12</v>
      </c>
      <c r="P162" s="68">
        <f>VLOOKUP(L162,'[1]POS_EAD_0112 a 3101_CAMP. REG)'!$F$5:$I$231,4,FALSE)</f>
        <v>19</v>
      </c>
      <c r="Q162" s="73">
        <f>VLOOKUP(L162,'[1]POS_EAD_0112 a 3101_CAMP. REG)'!$F$5:$J$231,5,FALSE)</f>
        <v>277.58266800000001</v>
      </c>
      <c r="R162" s="124">
        <f>VLOOKUP(L162,'[1]POS_EAD_0112 a 3101_CAMP. REG)'!$F$5:$L$231,7,FALSE)</f>
        <v>0.45</v>
      </c>
      <c r="S162" s="73">
        <f>VLOOKUP(L162,'[1]POS_EAD_0112 a 3101_CAMP. REG)'!$F$5:$M$231,8,FALSE)</f>
        <v>137.4</v>
      </c>
      <c r="T162" s="124">
        <f>VLOOKUP(L162,'[1]POS_EAD_0112 a 3101_CAMP. REG)'!$F$5:$P$231,11,FALSE)</f>
        <v>0.5</v>
      </c>
      <c r="U162" s="73">
        <f>VLOOKUP(L162,'[1]POS_EAD_0112 a 3101_CAMP. REG)'!$F$5:$Q$231,12,FALSE)</f>
        <v>124.91</v>
      </c>
      <c r="W162" s="121" t="s">
        <v>71</v>
      </c>
      <c r="X162" s="69" t="s">
        <v>19</v>
      </c>
      <c r="Y162" s="69" t="str">
        <f>VLOOKUP(W162,'[1]POS_EAD_0112 a 3101_CAMP. REG)'!$F$231:$G$461,2,FALSE)</f>
        <v>Humanas</v>
      </c>
      <c r="Z162" s="68">
        <f>VLOOKUP(W162,'[1]POS_EAD_0112 a 3101_CAMP. REG)'!$F$231:$H$461,3,FALSE)</f>
        <v>12</v>
      </c>
      <c r="AA162" s="68">
        <f>VLOOKUP(W162,'[1]POS_EAD_0112 a 3101_CAMP. REG)'!$F$231:$I$461,4,FALSE)</f>
        <v>19</v>
      </c>
      <c r="AB162" s="73">
        <f>VLOOKUP(W162,'[1]POS_EAD_0112 a 3101_CAMP. REG)'!$F$231:$J$461,5,FALSE)</f>
        <v>300.91749900000002</v>
      </c>
      <c r="AC162" s="72">
        <f>VLOOKUP(W162,'[1]POS_EAD_0112 a 3101_CAMP. REG)'!$F$231:$L$461,7,FALSE)</f>
        <v>0.45</v>
      </c>
      <c r="AD162" s="73">
        <f>VLOOKUP(W162,'[1]POS_EAD_0112 a 3101_CAMP. REG)'!$F$231:$M$461,8,FALSE)</f>
        <v>148.94999999999999</v>
      </c>
      <c r="AE162" s="72">
        <f>VLOOKUP(W162,'[1]POS_EAD_0112 a 3101_CAMP. REG)'!$F$231:$P$461,11,FALSE)</f>
        <v>0.5</v>
      </c>
      <c r="AF162" s="73">
        <f>VLOOKUP(W162,'[1]POS_EAD_0112 a 3101_CAMP. REG)'!$F$231:$Q$461,12,FALSE)</f>
        <v>135.41</v>
      </c>
      <c r="AH162" s="121" t="s">
        <v>71</v>
      </c>
      <c r="AI162" s="69" t="s">
        <v>19</v>
      </c>
      <c r="AJ162" s="68" t="str">
        <f>VLOOKUP(UNG[[#This Row],[CURSO]],'[1]POS_EAD_0112 a 3101_CAMP. REG)'!$F$463:$G$688,2,FALSE)</f>
        <v>Humanas</v>
      </c>
      <c r="AK162" s="68">
        <f>VLOOKUP(UNG[[#This Row],[CURSO]],'[1]POS_EAD_0112 a 3101_CAMP. REG)'!$F$463:$H$688,3,FALSE)</f>
        <v>12</v>
      </c>
      <c r="AL162" s="68">
        <f>VLOOKUP(UNG[[#This Row],[CURSO]],'[1]POS_EAD_0112 a 3101_CAMP. REG)'!$F$463:$I$688,4,FALSE)</f>
        <v>19</v>
      </c>
      <c r="AM162" s="71">
        <f>VLOOKUP(UNG[[#This Row],[CURSO]],'[1]POS_EAD_0112 a 3101_CAMP. REG)'!$F$463:$J$688,5,FALSE)</f>
        <v>277.58266800000001</v>
      </c>
      <c r="AN162" s="124">
        <f>VLOOKUP(UNG[[#This Row],[CURSO]],'[1]POS_EAD_0112 a 3101_CAMP. REG)'!$F$463:$L$688,7,FALSE)</f>
        <v>0.45</v>
      </c>
      <c r="AO162" s="71">
        <f>VLOOKUP(UNG[[#This Row],[CURSO]],'[1]POS_EAD_0112 a 3101_CAMP. REG)'!$F$463:$M$688,8,FALSE)</f>
        <v>137.4</v>
      </c>
      <c r="AP162" s="124">
        <f>VLOOKUP(UNG[[#This Row],[CURSO]],'[1]POS_EAD_0112 a 3101_CAMP. REG)'!$F$463:$P$688,11,FALSE)</f>
        <v>0.5</v>
      </c>
      <c r="AQ162" s="71">
        <f>VLOOKUP(UNG[[#This Row],[CURSO]],'[1]POS_EAD_0112 a 3101_CAMP. REG)'!$F$463:$Q$688,12,FALSE)</f>
        <v>124.91</v>
      </c>
      <c r="AS162" s="121" t="s">
        <v>71</v>
      </c>
      <c r="AT162" s="69" t="s">
        <v>19</v>
      </c>
      <c r="AU162" s="69" t="str">
        <f>VLOOKUP(UNINASSAU[[#This Row],[CURSO]],'[1]POS_EAD_0112 a 3101_CAMP. REG)'!$F$690:$G$915,2,FALSE)</f>
        <v>Humanas</v>
      </c>
      <c r="AV162" s="69">
        <f>VLOOKUP(UNINASSAU[[#This Row],[CURSO]],'[1]POS_EAD_0112 a 3101_CAMP. REG)'!$F$690:$H$915,3,FALSE)</f>
        <v>12</v>
      </c>
      <c r="AW162" s="69">
        <f>VLOOKUP(UNINASSAU[[#This Row],[CURSO]],'[1]POS_EAD_0112 a 3101_CAMP. REG)'!$F$690:$I$915,4,FALSE)</f>
        <v>19</v>
      </c>
      <c r="AX162" s="73">
        <f>VLOOKUP(UNINASSAU[[#This Row],[CURSO]],'[1]POS_EAD_0112 a 3101_CAMP. REG)'!$F$690:$J$915,5,FALSE)</f>
        <v>277.58266800000001</v>
      </c>
      <c r="AY162" s="72">
        <f>VLOOKUP(UNINASSAU[[#This Row],[CURSO]],'[1]POS_EAD_0112 a 3101_CAMP. REG)'!$F$690:$L$915,7,FALSE)</f>
        <v>0.45</v>
      </c>
      <c r="AZ162" s="73">
        <f>VLOOKUP(UNINASSAU[[#This Row],[CURSO]],'[1]POS_EAD_0112 a 3101_CAMP. REG)'!$F$690:$N$915,8,FALSE)</f>
        <v>137.4</v>
      </c>
      <c r="BA162" s="72">
        <f>VLOOKUP(UNINASSAU[[#This Row],[CURSO]],'[1]POS_EAD_0112 a 3101_CAMP. REG)'!$F$690:$P$915,11,FALSE)</f>
        <v>0.5</v>
      </c>
      <c r="BB162" s="73">
        <f>VLOOKUP(UNINASSAU[[#This Row],[CURSO]],'[1]POS_EAD_0112 a 3101_CAMP. REG)'!$F$690:$Q$915,12,FALSE)</f>
        <v>124.91</v>
      </c>
      <c r="BD162" s="104">
        <v>159</v>
      </c>
      <c r="BE162" s="121" t="s">
        <v>71</v>
      </c>
      <c r="BF162" s="69" t="s">
        <v>19</v>
      </c>
    </row>
    <row r="163" spans="12:58" x14ac:dyDescent="0.25">
      <c r="L163" s="121" t="s">
        <v>153</v>
      </c>
      <c r="M163" s="69" t="s">
        <v>19</v>
      </c>
      <c r="N163" s="69" t="str">
        <f>VLOOKUP($L$4,'[1]POS_EAD_0112 a 3101_CAMP. REG)'!$F$5:$G$231,2,FALSE)</f>
        <v>Humanas</v>
      </c>
      <c r="O163" s="69">
        <f>VLOOKUP(L163,'[1]POS_EAD_0112 a 3101_CAMP. REG)'!$F$5:$H$231,3,FALSE)</f>
        <v>12</v>
      </c>
      <c r="P163" s="68">
        <f>VLOOKUP(L163,'[1]POS_EAD_0112 a 3101_CAMP. REG)'!$F$5:$I$231,4,FALSE)</f>
        <v>19</v>
      </c>
      <c r="Q163" s="73">
        <f>VLOOKUP(L163,'[1]POS_EAD_0112 a 3101_CAMP. REG)'!$F$5:$J$231,5,FALSE)</f>
        <v>184.28091221052631</v>
      </c>
      <c r="R163" s="124">
        <f>VLOOKUP(L163,'[1]POS_EAD_0112 a 3101_CAMP. REG)'!$F$5:$L$231,7,FALSE)</f>
        <v>0.45</v>
      </c>
      <c r="S163" s="73">
        <f>VLOOKUP(L163,'[1]POS_EAD_0112 a 3101_CAMP. REG)'!$F$5:$M$231,8,FALSE)</f>
        <v>91.22</v>
      </c>
      <c r="T163" s="124">
        <f>VLOOKUP(L163,'[1]POS_EAD_0112 a 3101_CAMP. REG)'!$F$5:$P$231,11,FALSE)</f>
        <v>0.5</v>
      </c>
      <c r="U163" s="73">
        <f>VLOOKUP(L163,'[1]POS_EAD_0112 a 3101_CAMP. REG)'!$F$5:$Q$231,12,FALSE)</f>
        <v>82.93</v>
      </c>
      <c r="W163" s="121" t="s">
        <v>153</v>
      </c>
      <c r="X163" s="69" t="s">
        <v>19</v>
      </c>
      <c r="Y163" s="69" t="str">
        <f>VLOOKUP(W163,'[1]POS_EAD_0112 a 3101_CAMP. REG)'!$F$231:$G$461,2,FALSE)</f>
        <v>Humanas</v>
      </c>
      <c r="Z163" s="68">
        <f>VLOOKUP(W163,'[1]POS_EAD_0112 a 3101_CAMP. REG)'!$F$231:$H$461,3,FALSE)</f>
        <v>12</v>
      </c>
      <c r="AA163" s="68">
        <f>VLOOKUP(W163,'[1]POS_EAD_0112 a 3101_CAMP. REG)'!$F$231:$I$461,4,FALSE)</f>
        <v>19</v>
      </c>
      <c r="AB163" s="73">
        <f>VLOOKUP(W163,'[1]POS_EAD_0112 a 3101_CAMP. REG)'!$F$231:$J$461,5,FALSE)</f>
        <v>207.609666</v>
      </c>
      <c r="AC163" s="72">
        <f>VLOOKUP(W163,'[1]POS_EAD_0112 a 3101_CAMP. REG)'!$F$231:$L$461,7,FALSE)</f>
        <v>0.45</v>
      </c>
      <c r="AD163" s="73">
        <f>VLOOKUP(W163,'[1]POS_EAD_0112 a 3101_CAMP. REG)'!$F$231:$M$461,8,FALSE)</f>
        <v>102.77</v>
      </c>
      <c r="AE163" s="72">
        <f>VLOOKUP(W163,'[1]POS_EAD_0112 a 3101_CAMP. REG)'!$F$231:$P$461,11,FALSE)</f>
        <v>0.5</v>
      </c>
      <c r="AF163" s="73">
        <f>VLOOKUP(W163,'[1]POS_EAD_0112 a 3101_CAMP. REG)'!$F$231:$Q$461,12,FALSE)</f>
        <v>93.42</v>
      </c>
      <c r="AH163" s="121" t="s">
        <v>153</v>
      </c>
      <c r="AI163" s="69" t="s">
        <v>19</v>
      </c>
      <c r="AJ163" s="68" t="str">
        <f>VLOOKUP(UNG[[#This Row],[CURSO]],'[1]POS_EAD_0112 a 3101_CAMP. REG)'!$F$463:$G$688,2,FALSE)</f>
        <v>Humanas</v>
      </c>
      <c r="AK163" s="68">
        <f>VLOOKUP(UNG[[#This Row],[CURSO]],'[1]POS_EAD_0112 a 3101_CAMP. REG)'!$F$463:$H$688,3,FALSE)</f>
        <v>12</v>
      </c>
      <c r="AL163" s="68">
        <f>VLOOKUP(UNG[[#This Row],[CURSO]],'[1]POS_EAD_0112 a 3101_CAMP. REG)'!$F$463:$I$688,4,FALSE)</f>
        <v>19</v>
      </c>
      <c r="AM163" s="71">
        <f>VLOOKUP(UNG[[#This Row],[CURSO]],'[1]POS_EAD_0112 a 3101_CAMP. REG)'!$F$463:$J$688,5,FALSE)</f>
        <v>184.28091221052631</v>
      </c>
      <c r="AN163" s="124">
        <f>VLOOKUP(UNG[[#This Row],[CURSO]],'[1]POS_EAD_0112 a 3101_CAMP. REG)'!$F$463:$L$688,7,FALSE)</f>
        <v>0.45</v>
      </c>
      <c r="AO163" s="71">
        <f>VLOOKUP(UNG[[#This Row],[CURSO]],'[1]POS_EAD_0112 a 3101_CAMP. REG)'!$F$463:$M$688,8,FALSE)</f>
        <v>91.22</v>
      </c>
      <c r="AP163" s="124">
        <f>VLOOKUP(UNG[[#This Row],[CURSO]],'[1]POS_EAD_0112 a 3101_CAMP. REG)'!$F$463:$P$688,11,FALSE)</f>
        <v>0.5</v>
      </c>
      <c r="AQ163" s="71">
        <f>VLOOKUP(UNG[[#This Row],[CURSO]],'[1]POS_EAD_0112 a 3101_CAMP. REG)'!$F$463:$Q$688,12,FALSE)</f>
        <v>82.93</v>
      </c>
      <c r="AS163" s="121" t="s">
        <v>153</v>
      </c>
      <c r="AT163" s="69" t="s">
        <v>19</v>
      </c>
      <c r="AU163" s="69" t="str">
        <f>VLOOKUP(UNINASSAU[[#This Row],[CURSO]],'[1]POS_EAD_0112 a 3101_CAMP. REG)'!$F$690:$G$915,2,FALSE)</f>
        <v>Humanas</v>
      </c>
      <c r="AV163" s="69">
        <f>VLOOKUP(UNINASSAU[[#This Row],[CURSO]],'[1]POS_EAD_0112 a 3101_CAMP. REG)'!$F$690:$H$915,3,FALSE)</f>
        <v>12</v>
      </c>
      <c r="AW163" s="69">
        <f>VLOOKUP(UNINASSAU[[#This Row],[CURSO]],'[1]POS_EAD_0112 a 3101_CAMP. REG)'!$F$690:$I$915,4,FALSE)</f>
        <v>19</v>
      </c>
      <c r="AX163" s="73">
        <f>VLOOKUP(UNINASSAU[[#This Row],[CURSO]],'[1]POS_EAD_0112 a 3101_CAMP. REG)'!$F$690:$J$915,5,FALSE)</f>
        <v>184.28091221052631</v>
      </c>
      <c r="AY163" s="72">
        <f>VLOOKUP(UNINASSAU[[#This Row],[CURSO]],'[1]POS_EAD_0112 a 3101_CAMP. REG)'!$F$690:$L$915,7,FALSE)</f>
        <v>0.45</v>
      </c>
      <c r="AZ163" s="73">
        <f>VLOOKUP(UNINASSAU[[#This Row],[CURSO]],'[1]POS_EAD_0112 a 3101_CAMP. REG)'!$F$690:$N$915,8,FALSE)</f>
        <v>91.22</v>
      </c>
      <c r="BA163" s="72">
        <f>VLOOKUP(UNINASSAU[[#This Row],[CURSO]],'[1]POS_EAD_0112 a 3101_CAMP. REG)'!$F$690:$P$915,11,FALSE)</f>
        <v>0.5</v>
      </c>
      <c r="BB163" s="73">
        <f>VLOOKUP(UNINASSAU[[#This Row],[CURSO]],'[1]POS_EAD_0112 a 3101_CAMP. REG)'!$F$690:$Q$915,12,FALSE)</f>
        <v>82.93</v>
      </c>
      <c r="BD163" s="104">
        <v>160</v>
      </c>
      <c r="BE163" s="121" t="s">
        <v>153</v>
      </c>
      <c r="BF163" s="69" t="s">
        <v>19</v>
      </c>
    </row>
    <row r="164" spans="12:58" x14ac:dyDescent="0.25">
      <c r="L164" s="121" t="s">
        <v>155</v>
      </c>
      <c r="M164" s="69" t="s">
        <v>19</v>
      </c>
      <c r="N164" s="69" t="str">
        <f>VLOOKUP($L$4,'[1]POS_EAD_0112 a 3101_CAMP. REG)'!$F$5:$G$231,2,FALSE)</f>
        <v>Humanas</v>
      </c>
      <c r="O164" s="69">
        <f>VLOOKUP(L164,'[1]POS_EAD_0112 a 3101_CAMP. REG)'!$F$5:$H$231,3,FALSE)</f>
        <v>12</v>
      </c>
      <c r="P164" s="68">
        <f>VLOOKUP(L164,'[1]POS_EAD_0112 a 3101_CAMP. REG)'!$F$5:$I$231,4,FALSE)</f>
        <v>19</v>
      </c>
      <c r="Q164" s="73">
        <f>VLOOKUP(L164,'[1]POS_EAD_0112 a 3101_CAMP. REG)'!$F$5:$J$231,5,FALSE)</f>
        <v>277.58266800000001</v>
      </c>
      <c r="R164" s="124">
        <f>VLOOKUP(L164,'[1]POS_EAD_0112 a 3101_CAMP. REG)'!$F$5:$L$231,7,FALSE)</f>
        <v>0.45</v>
      </c>
      <c r="S164" s="73">
        <f>VLOOKUP(L164,'[1]POS_EAD_0112 a 3101_CAMP. REG)'!$F$5:$M$231,8,FALSE)</f>
        <v>137.4</v>
      </c>
      <c r="T164" s="124">
        <f>VLOOKUP(L164,'[1]POS_EAD_0112 a 3101_CAMP. REG)'!$F$5:$P$231,11,FALSE)</f>
        <v>0.5</v>
      </c>
      <c r="U164" s="73">
        <f>VLOOKUP(L164,'[1]POS_EAD_0112 a 3101_CAMP. REG)'!$F$5:$Q$231,12,FALSE)</f>
        <v>124.91</v>
      </c>
      <c r="W164" s="121" t="s">
        <v>155</v>
      </c>
      <c r="X164" s="69" t="s">
        <v>19</v>
      </c>
      <c r="Y164" s="69" t="str">
        <f>VLOOKUP(W164,'[1]POS_EAD_0112 a 3101_CAMP. REG)'!$F$231:$G$461,2,FALSE)</f>
        <v>Saúde</v>
      </c>
      <c r="Z164" s="68">
        <f>VLOOKUP(W164,'[1]POS_EAD_0112 a 3101_CAMP. REG)'!$F$231:$H$461,3,FALSE)</f>
        <v>12</v>
      </c>
      <c r="AA164" s="68">
        <f>VLOOKUP(W164,'[1]POS_EAD_0112 a 3101_CAMP. REG)'!$F$231:$I$461,4,FALSE)</f>
        <v>19</v>
      </c>
      <c r="AB164" s="73">
        <f>VLOOKUP(W164,'[1]POS_EAD_0112 a 3101_CAMP. REG)'!$F$231:$J$461,5,FALSE)</f>
        <v>300.91749900000002</v>
      </c>
      <c r="AC164" s="72">
        <f>VLOOKUP(W164,'[1]POS_EAD_0112 a 3101_CAMP. REG)'!$F$231:$L$461,7,FALSE)</f>
        <v>0.45</v>
      </c>
      <c r="AD164" s="73">
        <f>VLOOKUP(W164,'[1]POS_EAD_0112 a 3101_CAMP. REG)'!$F$231:$M$461,8,FALSE)</f>
        <v>148.94999999999999</v>
      </c>
      <c r="AE164" s="72">
        <f>VLOOKUP(W164,'[1]POS_EAD_0112 a 3101_CAMP. REG)'!$F$231:$P$461,11,FALSE)</f>
        <v>0.5</v>
      </c>
      <c r="AF164" s="73">
        <f>VLOOKUP(W164,'[1]POS_EAD_0112 a 3101_CAMP. REG)'!$F$231:$Q$461,12,FALSE)</f>
        <v>135.41</v>
      </c>
      <c r="AH164" s="121" t="s">
        <v>155</v>
      </c>
      <c r="AI164" s="69" t="s">
        <v>19</v>
      </c>
      <c r="AJ164" s="68" t="str">
        <f>VLOOKUP(UNG[[#This Row],[CURSO]],'[1]POS_EAD_0112 a 3101_CAMP. REG)'!$F$463:$G$688,2,FALSE)</f>
        <v>Saúde</v>
      </c>
      <c r="AK164" s="68">
        <f>VLOOKUP(UNG[[#This Row],[CURSO]],'[1]POS_EAD_0112 a 3101_CAMP. REG)'!$F$463:$H$688,3,FALSE)</f>
        <v>12</v>
      </c>
      <c r="AL164" s="68">
        <f>VLOOKUP(UNG[[#This Row],[CURSO]],'[1]POS_EAD_0112 a 3101_CAMP. REG)'!$F$463:$I$688,4,FALSE)</f>
        <v>19</v>
      </c>
      <c r="AM164" s="71">
        <f>VLOOKUP(UNG[[#This Row],[CURSO]],'[1]POS_EAD_0112 a 3101_CAMP. REG)'!$F$463:$J$688,5,FALSE)</f>
        <v>277.58266800000001</v>
      </c>
      <c r="AN164" s="124">
        <f>VLOOKUP(UNG[[#This Row],[CURSO]],'[1]POS_EAD_0112 a 3101_CAMP. REG)'!$F$463:$L$688,7,FALSE)</f>
        <v>0.45</v>
      </c>
      <c r="AO164" s="71">
        <f>VLOOKUP(UNG[[#This Row],[CURSO]],'[1]POS_EAD_0112 a 3101_CAMP. REG)'!$F$463:$M$688,8,FALSE)</f>
        <v>137.4</v>
      </c>
      <c r="AP164" s="124">
        <f>VLOOKUP(UNG[[#This Row],[CURSO]],'[1]POS_EAD_0112 a 3101_CAMP. REG)'!$F$463:$P$688,11,FALSE)</f>
        <v>0.5</v>
      </c>
      <c r="AQ164" s="71">
        <f>VLOOKUP(UNG[[#This Row],[CURSO]],'[1]POS_EAD_0112 a 3101_CAMP. REG)'!$F$463:$Q$688,12,FALSE)</f>
        <v>124.91</v>
      </c>
      <c r="AS164" s="121" t="s">
        <v>155</v>
      </c>
      <c r="AT164" s="69" t="s">
        <v>19</v>
      </c>
      <c r="AU164" s="69" t="str">
        <f>VLOOKUP(UNINASSAU[[#This Row],[CURSO]],'[1]POS_EAD_0112 a 3101_CAMP. REG)'!$F$690:$G$915,2,FALSE)</f>
        <v>Saúde</v>
      </c>
      <c r="AV164" s="69">
        <f>VLOOKUP(UNINASSAU[[#This Row],[CURSO]],'[1]POS_EAD_0112 a 3101_CAMP. REG)'!$F$690:$H$915,3,FALSE)</f>
        <v>12</v>
      </c>
      <c r="AW164" s="69">
        <f>VLOOKUP(UNINASSAU[[#This Row],[CURSO]],'[1]POS_EAD_0112 a 3101_CAMP. REG)'!$F$690:$I$915,4,FALSE)</f>
        <v>19</v>
      </c>
      <c r="AX164" s="73">
        <f>VLOOKUP(UNINASSAU[[#This Row],[CURSO]],'[1]POS_EAD_0112 a 3101_CAMP. REG)'!$F$690:$J$915,5,FALSE)</f>
        <v>277.58266800000001</v>
      </c>
      <c r="AY164" s="72">
        <f>VLOOKUP(UNINASSAU[[#This Row],[CURSO]],'[1]POS_EAD_0112 a 3101_CAMP. REG)'!$F$690:$L$915,7,FALSE)</f>
        <v>0.45</v>
      </c>
      <c r="AZ164" s="73">
        <f>VLOOKUP(UNINASSAU[[#This Row],[CURSO]],'[1]POS_EAD_0112 a 3101_CAMP. REG)'!$F$690:$N$915,8,FALSE)</f>
        <v>137.4</v>
      </c>
      <c r="BA164" s="72">
        <f>VLOOKUP(UNINASSAU[[#This Row],[CURSO]],'[1]POS_EAD_0112 a 3101_CAMP. REG)'!$F$690:$P$915,11,FALSE)</f>
        <v>0.5</v>
      </c>
      <c r="BB164" s="73">
        <f>VLOOKUP(UNINASSAU[[#This Row],[CURSO]],'[1]POS_EAD_0112 a 3101_CAMP. REG)'!$F$690:$Q$915,12,FALSE)</f>
        <v>124.91</v>
      </c>
      <c r="BD164" s="104">
        <v>161</v>
      </c>
      <c r="BE164" s="121" t="s">
        <v>155</v>
      </c>
      <c r="BF164" s="69" t="s">
        <v>19</v>
      </c>
    </row>
    <row r="165" spans="12:58" x14ac:dyDescent="0.25">
      <c r="L165" s="121" t="s">
        <v>70</v>
      </c>
      <c r="M165" s="69" t="s">
        <v>19</v>
      </c>
      <c r="N165" s="69" t="str">
        <f>VLOOKUP($L$4,'[1]POS_EAD_0112 a 3101_CAMP. REG)'!$F$5:$G$231,2,FALSE)</f>
        <v>Humanas</v>
      </c>
      <c r="O165" s="69">
        <f>VLOOKUP(L165,'[1]POS_EAD_0112 a 3101_CAMP. REG)'!$F$5:$H$231,3,FALSE)</f>
        <v>12</v>
      </c>
      <c r="P165" s="68">
        <f>VLOOKUP(L165,'[1]POS_EAD_0112 a 3101_CAMP. REG)'!$F$5:$I$231,4,FALSE)</f>
        <v>19</v>
      </c>
      <c r="Q165" s="73">
        <f>VLOOKUP(L165,'[1]POS_EAD_0112 a 3101_CAMP. REG)'!$F$5:$J$231,5,FALSE)</f>
        <v>277.58266800000001</v>
      </c>
      <c r="R165" s="124">
        <f>VLOOKUP(L165,'[1]POS_EAD_0112 a 3101_CAMP. REG)'!$F$5:$L$231,7,FALSE)</f>
        <v>0.45</v>
      </c>
      <c r="S165" s="73">
        <f>VLOOKUP(L165,'[1]POS_EAD_0112 a 3101_CAMP. REG)'!$F$5:$M$231,8,FALSE)</f>
        <v>137.4</v>
      </c>
      <c r="T165" s="124">
        <f>VLOOKUP(L165,'[1]POS_EAD_0112 a 3101_CAMP. REG)'!$F$5:$P$231,11,FALSE)</f>
        <v>0.5</v>
      </c>
      <c r="U165" s="73">
        <f>VLOOKUP(L165,'[1]POS_EAD_0112 a 3101_CAMP. REG)'!$F$5:$Q$231,12,FALSE)</f>
        <v>124.91</v>
      </c>
      <c r="W165" s="121" t="s">
        <v>70</v>
      </c>
      <c r="X165" s="69" t="s">
        <v>19</v>
      </c>
      <c r="Y165" s="69" t="str">
        <f>VLOOKUP(W165,'[1]POS_EAD_0112 a 3101_CAMP. REG)'!$F$231:$G$461,2,FALSE)</f>
        <v>Humanas</v>
      </c>
      <c r="Z165" s="68">
        <f>VLOOKUP(W165,'[1]POS_EAD_0112 a 3101_CAMP. REG)'!$F$231:$H$461,3,FALSE)</f>
        <v>12</v>
      </c>
      <c r="AA165" s="68">
        <f>VLOOKUP(W165,'[1]POS_EAD_0112 a 3101_CAMP. REG)'!$F$231:$I$461,4,FALSE)</f>
        <v>19</v>
      </c>
      <c r="AB165" s="73">
        <f>VLOOKUP(W165,'[1]POS_EAD_0112 a 3101_CAMP. REG)'!$F$231:$J$461,5,FALSE)</f>
        <v>300.91749900000002</v>
      </c>
      <c r="AC165" s="72">
        <f>VLOOKUP(W165,'[1]POS_EAD_0112 a 3101_CAMP. REG)'!$F$231:$L$461,7,FALSE)</f>
        <v>0.45</v>
      </c>
      <c r="AD165" s="73">
        <f>VLOOKUP(W165,'[1]POS_EAD_0112 a 3101_CAMP. REG)'!$F$231:$M$461,8,FALSE)</f>
        <v>148.94999999999999</v>
      </c>
      <c r="AE165" s="72">
        <f>VLOOKUP(W165,'[1]POS_EAD_0112 a 3101_CAMP. REG)'!$F$231:$P$461,11,FALSE)</f>
        <v>0.5</v>
      </c>
      <c r="AF165" s="73">
        <f>VLOOKUP(W165,'[1]POS_EAD_0112 a 3101_CAMP. REG)'!$F$231:$Q$461,12,FALSE)</f>
        <v>135.41</v>
      </c>
      <c r="AH165" s="121" t="s">
        <v>70</v>
      </c>
      <c r="AI165" s="69" t="s">
        <v>19</v>
      </c>
      <c r="AJ165" s="68" t="str">
        <f>VLOOKUP(UNG[[#This Row],[CURSO]],'[1]POS_EAD_0112 a 3101_CAMP. REG)'!$F$463:$G$688,2,FALSE)</f>
        <v>Humanas</v>
      </c>
      <c r="AK165" s="68">
        <f>VLOOKUP(UNG[[#This Row],[CURSO]],'[1]POS_EAD_0112 a 3101_CAMP. REG)'!$F$463:$H$688,3,FALSE)</f>
        <v>12</v>
      </c>
      <c r="AL165" s="68">
        <f>VLOOKUP(UNG[[#This Row],[CURSO]],'[1]POS_EAD_0112 a 3101_CAMP. REG)'!$F$463:$I$688,4,FALSE)</f>
        <v>19</v>
      </c>
      <c r="AM165" s="71">
        <f>VLOOKUP(UNG[[#This Row],[CURSO]],'[1]POS_EAD_0112 a 3101_CAMP. REG)'!$F$463:$J$688,5,FALSE)</f>
        <v>277.58266800000001</v>
      </c>
      <c r="AN165" s="124">
        <f>VLOOKUP(UNG[[#This Row],[CURSO]],'[1]POS_EAD_0112 a 3101_CAMP. REG)'!$F$463:$L$688,7,FALSE)</f>
        <v>0.45</v>
      </c>
      <c r="AO165" s="71">
        <f>VLOOKUP(UNG[[#This Row],[CURSO]],'[1]POS_EAD_0112 a 3101_CAMP. REG)'!$F$463:$M$688,8,FALSE)</f>
        <v>137.4</v>
      </c>
      <c r="AP165" s="124">
        <f>VLOOKUP(UNG[[#This Row],[CURSO]],'[1]POS_EAD_0112 a 3101_CAMP. REG)'!$F$463:$P$688,11,FALSE)</f>
        <v>0.5</v>
      </c>
      <c r="AQ165" s="71">
        <f>VLOOKUP(UNG[[#This Row],[CURSO]],'[1]POS_EAD_0112 a 3101_CAMP. REG)'!$F$463:$Q$688,12,FALSE)</f>
        <v>124.91</v>
      </c>
      <c r="AS165" s="121" t="s">
        <v>70</v>
      </c>
      <c r="AT165" s="69" t="s">
        <v>19</v>
      </c>
      <c r="AU165" s="69" t="str">
        <f>VLOOKUP(UNINASSAU[[#This Row],[CURSO]],'[1]POS_EAD_0112 a 3101_CAMP. REG)'!$F$690:$G$915,2,FALSE)</f>
        <v>Humanas</v>
      </c>
      <c r="AV165" s="69">
        <f>VLOOKUP(UNINASSAU[[#This Row],[CURSO]],'[1]POS_EAD_0112 a 3101_CAMP. REG)'!$F$690:$H$915,3,FALSE)</f>
        <v>12</v>
      </c>
      <c r="AW165" s="69">
        <f>VLOOKUP(UNINASSAU[[#This Row],[CURSO]],'[1]POS_EAD_0112 a 3101_CAMP. REG)'!$F$690:$I$915,4,FALSE)</f>
        <v>19</v>
      </c>
      <c r="AX165" s="73">
        <f>VLOOKUP(UNINASSAU[[#This Row],[CURSO]],'[1]POS_EAD_0112 a 3101_CAMP. REG)'!$F$690:$J$915,5,FALSE)</f>
        <v>277.58266800000001</v>
      </c>
      <c r="AY165" s="72">
        <f>VLOOKUP(UNINASSAU[[#This Row],[CURSO]],'[1]POS_EAD_0112 a 3101_CAMP. REG)'!$F$690:$L$915,7,FALSE)</f>
        <v>0.45</v>
      </c>
      <c r="AZ165" s="73">
        <f>VLOOKUP(UNINASSAU[[#This Row],[CURSO]],'[1]POS_EAD_0112 a 3101_CAMP. REG)'!$F$690:$N$915,8,FALSE)</f>
        <v>137.4</v>
      </c>
      <c r="BA165" s="72">
        <f>VLOOKUP(UNINASSAU[[#This Row],[CURSO]],'[1]POS_EAD_0112 a 3101_CAMP. REG)'!$F$690:$P$915,11,FALSE)</f>
        <v>0.5</v>
      </c>
      <c r="BB165" s="73">
        <f>VLOOKUP(UNINASSAU[[#This Row],[CURSO]],'[1]POS_EAD_0112 a 3101_CAMP. REG)'!$F$690:$Q$915,12,FALSE)</f>
        <v>124.91</v>
      </c>
      <c r="BD165" s="104">
        <v>162</v>
      </c>
      <c r="BE165" s="121" t="s">
        <v>70</v>
      </c>
      <c r="BF165" s="69" t="s">
        <v>19</v>
      </c>
    </row>
    <row r="166" spans="12:58" x14ac:dyDescent="0.25">
      <c r="L166" s="121" t="s">
        <v>140</v>
      </c>
      <c r="M166" s="69" t="s">
        <v>19</v>
      </c>
      <c r="N166" s="69" t="str">
        <f>VLOOKUP($L$4,'[1]POS_EAD_0112 a 3101_CAMP. REG)'!$F$5:$G$231,2,FALSE)</f>
        <v>Humanas</v>
      </c>
      <c r="O166" s="69">
        <f>VLOOKUP(L166,'[1]POS_EAD_0112 a 3101_CAMP. REG)'!$F$5:$H$231,3,FALSE)</f>
        <v>6</v>
      </c>
      <c r="P166" s="68">
        <f>VLOOKUP(L166,'[1]POS_EAD_0112 a 3101_CAMP. REG)'!$F$5:$I$231,4,FALSE)</f>
        <v>13</v>
      </c>
      <c r="Q166" s="73">
        <f>VLOOKUP(L166,'[1]POS_EAD_0112 a 3101_CAMP. REG)'!$F$5:$J$231,5,FALSE)</f>
        <v>269.33202599999998</v>
      </c>
      <c r="R166" s="124">
        <f>VLOOKUP(L166,'[1]POS_EAD_0112 a 3101_CAMP. REG)'!$F$5:$L$231,7,FALSE)</f>
        <v>0.45</v>
      </c>
      <c r="S166" s="73">
        <f>VLOOKUP(L166,'[1]POS_EAD_0112 a 3101_CAMP. REG)'!$F$5:$M$231,8,FALSE)</f>
        <v>133.32</v>
      </c>
      <c r="T166" s="124">
        <f>VLOOKUP(L166,'[1]POS_EAD_0112 a 3101_CAMP. REG)'!$F$5:$P$231,11,FALSE)</f>
        <v>0.5</v>
      </c>
      <c r="U166" s="73">
        <f>VLOOKUP(L166,'[1]POS_EAD_0112 a 3101_CAMP. REG)'!$F$5:$Q$231,12,FALSE)</f>
        <v>121.2</v>
      </c>
      <c r="W166" s="121" t="s">
        <v>140</v>
      </c>
      <c r="X166" s="69" t="s">
        <v>19</v>
      </c>
      <c r="Y166" s="69" t="str">
        <f>VLOOKUP(W166,'[1]POS_EAD_0112 a 3101_CAMP. REG)'!$F$231:$G$461,2,FALSE)</f>
        <v>Humanas</v>
      </c>
      <c r="Z166" s="68">
        <f>VLOOKUP(W166,'[1]POS_EAD_0112 a 3101_CAMP. REG)'!$F$231:$H$461,3,FALSE)</f>
        <v>6</v>
      </c>
      <c r="AA166" s="68">
        <f>VLOOKUP(W166,'[1]POS_EAD_0112 a 3101_CAMP. REG)'!$F$231:$I$461,4,FALSE)</f>
        <v>13</v>
      </c>
      <c r="AB166" s="73">
        <f>VLOOKUP(W166,'[1]POS_EAD_0112 a 3101_CAMP. REG)'!$F$231:$J$461,5,FALSE)</f>
        <v>303.42628200000001</v>
      </c>
      <c r="AC166" s="72">
        <f>VLOOKUP(W166,'[1]POS_EAD_0112 a 3101_CAMP. REG)'!$F$231:$L$461,7,FALSE)</f>
        <v>0.45</v>
      </c>
      <c r="AD166" s="73">
        <f>VLOOKUP(W166,'[1]POS_EAD_0112 a 3101_CAMP. REG)'!$F$231:$M$461,8,FALSE)</f>
        <v>150.19999999999999</v>
      </c>
      <c r="AE166" s="72">
        <f>VLOOKUP(W166,'[1]POS_EAD_0112 a 3101_CAMP. REG)'!$F$231:$P$461,11,FALSE)</f>
        <v>0.5</v>
      </c>
      <c r="AF166" s="73">
        <f>VLOOKUP(W166,'[1]POS_EAD_0112 a 3101_CAMP. REG)'!$F$231:$Q$461,12,FALSE)</f>
        <v>136.54</v>
      </c>
      <c r="AH166" s="121" t="s">
        <v>140</v>
      </c>
      <c r="AI166" s="69" t="s">
        <v>19</v>
      </c>
      <c r="AJ166" s="68" t="str">
        <f>VLOOKUP(UNG[[#This Row],[CURSO]],'[1]POS_EAD_0112 a 3101_CAMP. REG)'!$F$463:$G$688,2,FALSE)</f>
        <v>Humanas</v>
      </c>
      <c r="AK166" s="68">
        <f>VLOOKUP(UNG[[#This Row],[CURSO]],'[1]POS_EAD_0112 a 3101_CAMP. REG)'!$F$463:$H$688,3,FALSE)</f>
        <v>6</v>
      </c>
      <c r="AL166" s="68">
        <f>VLOOKUP(UNG[[#This Row],[CURSO]],'[1]POS_EAD_0112 a 3101_CAMP. REG)'!$F$463:$I$688,4,FALSE)</f>
        <v>13</v>
      </c>
      <c r="AM166" s="71">
        <f>VLOOKUP(UNG[[#This Row],[CURSO]],'[1]POS_EAD_0112 a 3101_CAMP. REG)'!$F$463:$J$688,5,FALSE)</f>
        <v>269.33202599999998</v>
      </c>
      <c r="AN166" s="124">
        <f>VLOOKUP(UNG[[#This Row],[CURSO]],'[1]POS_EAD_0112 a 3101_CAMP. REG)'!$F$463:$L$688,7,FALSE)</f>
        <v>0.45</v>
      </c>
      <c r="AO166" s="71">
        <f>VLOOKUP(UNG[[#This Row],[CURSO]],'[1]POS_EAD_0112 a 3101_CAMP. REG)'!$F$463:$M$688,8,FALSE)</f>
        <v>133.32</v>
      </c>
      <c r="AP166" s="124">
        <f>VLOOKUP(UNG[[#This Row],[CURSO]],'[1]POS_EAD_0112 a 3101_CAMP. REG)'!$F$463:$P$688,11,FALSE)</f>
        <v>0.5</v>
      </c>
      <c r="AQ166" s="71">
        <f>VLOOKUP(UNG[[#This Row],[CURSO]],'[1]POS_EAD_0112 a 3101_CAMP. REG)'!$F$463:$Q$688,12,FALSE)</f>
        <v>121.2</v>
      </c>
      <c r="AS166" s="121" t="s">
        <v>140</v>
      </c>
      <c r="AT166" s="69" t="s">
        <v>19</v>
      </c>
      <c r="AU166" s="69" t="str">
        <f>VLOOKUP(UNINASSAU[[#This Row],[CURSO]],'[1]POS_EAD_0112 a 3101_CAMP. REG)'!$F$690:$G$915,2,FALSE)</f>
        <v>Humanas</v>
      </c>
      <c r="AV166" s="69">
        <f>VLOOKUP(UNINASSAU[[#This Row],[CURSO]],'[1]POS_EAD_0112 a 3101_CAMP. REG)'!$F$690:$H$915,3,FALSE)</f>
        <v>6</v>
      </c>
      <c r="AW166" s="69">
        <f>VLOOKUP(UNINASSAU[[#This Row],[CURSO]],'[1]POS_EAD_0112 a 3101_CAMP. REG)'!$F$690:$I$915,4,FALSE)</f>
        <v>13</v>
      </c>
      <c r="AX166" s="73">
        <f>VLOOKUP(UNINASSAU[[#This Row],[CURSO]],'[1]POS_EAD_0112 a 3101_CAMP. REG)'!$F$690:$J$915,5,FALSE)</f>
        <v>269.33202599999998</v>
      </c>
      <c r="AY166" s="72">
        <f>VLOOKUP(UNINASSAU[[#This Row],[CURSO]],'[1]POS_EAD_0112 a 3101_CAMP. REG)'!$F$690:$L$915,7,FALSE)</f>
        <v>0.45</v>
      </c>
      <c r="AZ166" s="73">
        <f>VLOOKUP(UNINASSAU[[#This Row],[CURSO]],'[1]POS_EAD_0112 a 3101_CAMP. REG)'!$F$690:$N$915,8,FALSE)</f>
        <v>133.32</v>
      </c>
      <c r="BA166" s="72">
        <f>VLOOKUP(UNINASSAU[[#This Row],[CURSO]],'[1]POS_EAD_0112 a 3101_CAMP. REG)'!$F$690:$P$915,11,FALSE)</f>
        <v>0.5</v>
      </c>
      <c r="BB166" s="73">
        <f>VLOOKUP(UNINASSAU[[#This Row],[CURSO]],'[1]POS_EAD_0112 a 3101_CAMP. REG)'!$F$690:$Q$915,12,FALSE)</f>
        <v>121.2</v>
      </c>
      <c r="BD166" s="104">
        <v>163</v>
      </c>
      <c r="BE166" s="121" t="s">
        <v>140</v>
      </c>
      <c r="BF166" s="69" t="s">
        <v>19</v>
      </c>
    </row>
    <row r="167" spans="12:58" x14ac:dyDescent="0.25">
      <c r="L167" s="121" t="s">
        <v>231</v>
      </c>
      <c r="M167" s="69" t="s">
        <v>19</v>
      </c>
      <c r="N167" s="69" t="str">
        <f>VLOOKUP($L$4,'[1]POS_EAD_0112 a 3101_CAMP. REG)'!$F$5:$G$231,2,FALSE)</f>
        <v>Humanas</v>
      </c>
      <c r="O167" s="69">
        <f>VLOOKUP(L167,'[1]POS_EAD_0112 a 3101_CAMP. REG)'!$F$5:$H$231,3,FALSE)</f>
        <v>12</v>
      </c>
      <c r="P167" s="68">
        <f>VLOOKUP(L167,'[1]POS_EAD_0112 a 3101_CAMP. REG)'!$F$5:$I$231,4,FALSE)</f>
        <v>19</v>
      </c>
      <c r="Q167" s="73">
        <f>VLOOKUP(L167,'[1]POS_EAD_0112 a 3101_CAMP. REG)'!$F$5:$J$231,5,FALSE)</f>
        <v>184.28091221052631</v>
      </c>
      <c r="R167" s="124">
        <f>VLOOKUP(L167,'[1]POS_EAD_0112 a 3101_CAMP. REG)'!$F$5:$L$231,7,FALSE)</f>
        <v>0.45</v>
      </c>
      <c r="S167" s="73">
        <f>VLOOKUP(L167,'[1]POS_EAD_0112 a 3101_CAMP. REG)'!$F$5:$M$231,8,FALSE)</f>
        <v>91.22</v>
      </c>
      <c r="T167" s="124">
        <f>VLOOKUP(L167,'[1]POS_EAD_0112 a 3101_CAMP. REG)'!$F$5:$P$231,11,FALSE)</f>
        <v>0.5</v>
      </c>
      <c r="U167" s="73">
        <f>VLOOKUP(L167,'[1]POS_EAD_0112 a 3101_CAMP. REG)'!$F$5:$Q$231,12,FALSE)</f>
        <v>82.93</v>
      </c>
      <c r="W167" s="121" t="s">
        <v>231</v>
      </c>
      <c r="X167" s="69" t="s">
        <v>19</v>
      </c>
      <c r="Y167" s="69" t="str">
        <f>VLOOKUP(W167,'[1]POS_EAD_0112 a 3101_CAMP. REG)'!$F$231:$G$461,2,FALSE)</f>
        <v>Humanas</v>
      </c>
      <c r="Z167" s="68">
        <f>VLOOKUP(W167,'[1]POS_EAD_0112 a 3101_CAMP. REG)'!$F$231:$H$461,3,FALSE)</f>
        <v>12</v>
      </c>
      <c r="AA167" s="68">
        <f>VLOOKUP(W167,'[1]POS_EAD_0112 a 3101_CAMP. REG)'!$F$231:$I$461,4,FALSE)</f>
        <v>19</v>
      </c>
      <c r="AB167" s="73">
        <f>VLOOKUP(W167,'[1]POS_EAD_0112 a 3101_CAMP. REG)'!$F$231:$J$461,5,FALSE)</f>
        <v>207.609666</v>
      </c>
      <c r="AC167" s="72">
        <f>VLOOKUP(W167,'[1]POS_EAD_0112 a 3101_CAMP. REG)'!$F$231:$L$461,7,FALSE)</f>
        <v>0.45</v>
      </c>
      <c r="AD167" s="73">
        <f>VLOOKUP(W167,'[1]POS_EAD_0112 a 3101_CAMP. REG)'!$F$231:$M$461,8,FALSE)</f>
        <v>102.77</v>
      </c>
      <c r="AE167" s="72">
        <f>VLOOKUP(W167,'[1]POS_EAD_0112 a 3101_CAMP. REG)'!$F$231:$P$461,11,FALSE)</f>
        <v>0.5</v>
      </c>
      <c r="AF167" s="73">
        <f>VLOOKUP(W167,'[1]POS_EAD_0112 a 3101_CAMP. REG)'!$F$231:$Q$461,12,FALSE)</f>
        <v>93.42</v>
      </c>
      <c r="AH167" s="121" t="s">
        <v>231</v>
      </c>
      <c r="AI167" s="69" t="s">
        <v>19</v>
      </c>
      <c r="AJ167" s="68" t="str">
        <f>VLOOKUP(UNG[[#This Row],[CURSO]],'[1]POS_EAD_0112 a 3101_CAMP. REG)'!$F$463:$G$688,2,FALSE)</f>
        <v>Humanas</v>
      </c>
      <c r="AK167" s="68">
        <f>VLOOKUP(UNG[[#This Row],[CURSO]],'[1]POS_EAD_0112 a 3101_CAMP. REG)'!$F$463:$H$688,3,FALSE)</f>
        <v>12</v>
      </c>
      <c r="AL167" s="68">
        <f>VLOOKUP(UNG[[#This Row],[CURSO]],'[1]POS_EAD_0112 a 3101_CAMP. REG)'!$F$463:$I$688,4,FALSE)</f>
        <v>19</v>
      </c>
      <c r="AM167" s="71">
        <f>VLOOKUP(UNG[[#This Row],[CURSO]],'[1]POS_EAD_0112 a 3101_CAMP. REG)'!$F$463:$J$688,5,FALSE)</f>
        <v>184.28091221052631</v>
      </c>
      <c r="AN167" s="124">
        <f>VLOOKUP(UNG[[#This Row],[CURSO]],'[1]POS_EAD_0112 a 3101_CAMP. REG)'!$F$463:$L$688,7,FALSE)</f>
        <v>0.45</v>
      </c>
      <c r="AO167" s="71">
        <f>VLOOKUP(UNG[[#This Row],[CURSO]],'[1]POS_EAD_0112 a 3101_CAMP. REG)'!$F$463:$M$688,8,FALSE)</f>
        <v>91.22</v>
      </c>
      <c r="AP167" s="124">
        <f>VLOOKUP(UNG[[#This Row],[CURSO]],'[1]POS_EAD_0112 a 3101_CAMP. REG)'!$F$463:$P$688,11,FALSE)</f>
        <v>0.5</v>
      </c>
      <c r="AQ167" s="71">
        <f>VLOOKUP(UNG[[#This Row],[CURSO]],'[1]POS_EAD_0112 a 3101_CAMP. REG)'!$F$463:$Q$688,12,FALSE)</f>
        <v>82.93</v>
      </c>
      <c r="AS167" s="121" t="s">
        <v>231</v>
      </c>
      <c r="AT167" s="69" t="s">
        <v>19</v>
      </c>
      <c r="AU167" s="69" t="str">
        <f>VLOOKUP(UNINASSAU[[#This Row],[CURSO]],'[1]POS_EAD_0112 a 3101_CAMP. REG)'!$F$690:$G$915,2,FALSE)</f>
        <v>Humanas</v>
      </c>
      <c r="AV167" s="69">
        <f>VLOOKUP(UNINASSAU[[#This Row],[CURSO]],'[1]POS_EAD_0112 a 3101_CAMP. REG)'!$F$690:$H$915,3,FALSE)</f>
        <v>12</v>
      </c>
      <c r="AW167" s="69">
        <f>VLOOKUP(UNINASSAU[[#This Row],[CURSO]],'[1]POS_EAD_0112 a 3101_CAMP. REG)'!$F$690:$I$915,4,FALSE)</f>
        <v>19</v>
      </c>
      <c r="AX167" s="73">
        <f>VLOOKUP(UNINASSAU[[#This Row],[CURSO]],'[1]POS_EAD_0112 a 3101_CAMP. REG)'!$F$690:$J$915,5,FALSE)</f>
        <v>184.28091221052631</v>
      </c>
      <c r="AY167" s="72">
        <f>VLOOKUP(UNINASSAU[[#This Row],[CURSO]],'[1]POS_EAD_0112 a 3101_CAMP. REG)'!$F$690:$L$915,7,FALSE)</f>
        <v>0.45</v>
      </c>
      <c r="AZ167" s="73">
        <f>VLOOKUP(UNINASSAU[[#This Row],[CURSO]],'[1]POS_EAD_0112 a 3101_CAMP. REG)'!$F$690:$N$915,8,FALSE)</f>
        <v>91.22</v>
      </c>
      <c r="BA167" s="72">
        <f>VLOOKUP(UNINASSAU[[#This Row],[CURSO]],'[1]POS_EAD_0112 a 3101_CAMP. REG)'!$F$690:$P$915,11,FALSE)</f>
        <v>0.5</v>
      </c>
      <c r="BB167" s="73">
        <f>VLOOKUP(UNINASSAU[[#This Row],[CURSO]],'[1]POS_EAD_0112 a 3101_CAMP. REG)'!$F$690:$Q$915,12,FALSE)</f>
        <v>82.93</v>
      </c>
      <c r="BD167" s="104">
        <v>164</v>
      </c>
      <c r="BE167" s="121" t="s">
        <v>231</v>
      </c>
      <c r="BF167" s="69" t="s">
        <v>19</v>
      </c>
    </row>
    <row r="168" spans="12:58" x14ac:dyDescent="0.25">
      <c r="L168" s="121" t="s">
        <v>160</v>
      </c>
      <c r="M168" s="69" t="s">
        <v>19</v>
      </c>
      <c r="N168" s="69" t="str">
        <f>VLOOKUP($L$4,'[1]POS_EAD_0112 a 3101_CAMP. REG)'!$F$5:$G$231,2,FALSE)</f>
        <v>Humanas</v>
      </c>
      <c r="O168" s="69">
        <f>VLOOKUP(L168,'[1]POS_EAD_0112 a 3101_CAMP. REG)'!$F$5:$H$231,3,FALSE)</f>
        <v>12</v>
      </c>
      <c r="P168" s="68">
        <f>VLOOKUP(L168,'[1]POS_EAD_0112 a 3101_CAMP. REG)'!$F$5:$I$231,4,FALSE)</f>
        <v>19</v>
      </c>
      <c r="Q168" s="73">
        <f>VLOOKUP(L168,'[1]POS_EAD_0112 a 3101_CAMP. REG)'!$F$5:$J$231,5,FALSE)</f>
        <v>277.58266800000001</v>
      </c>
      <c r="R168" s="124">
        <f>VLOOKUP(L168,'[1]POS_EAD_0112 a 3101_CAMP. REG)'!$F$5:$L$231,7,FALSE)</f>
        <v>0.45</v>
      </c>
      <c r="S168" s="73">
        <f>VLOOKUP(L168,'[1]POS_EAD_0112 a 3101_CAMP. REG)'!$F$5:$M$231,8,FALSE)</f>
        <v>137.4</v>
      </c>
      <c r="T168" s="124">
        <f>VLOOKUP(L168,'[1]POS_EAD_0112 a 3101_CAMP. REG)'!$F$5:$P$231,11,FALSE)</f>
        <v>0.5</v>
      </c>
      <c r="U168" s="73">
        <f>VLOOKUP(L168,'[1]POS_EAD_0112 a 3101_CAMP. REG)'!$F$5:$Q$231,12,FALSE)</f>
        <v>124.91</v>
      </c>
      <c r="W168" s="121" t="s">
        <v>160</v>
      </c>
      <c r="X168" s="69" t="s">
        <v>19</v>
      </c>
      <c r="Y168" s="69" t="str">
        <f>VLOOKUP(W168,'[1]POS_EAD_0112 a 3101_CAMP. REG)'!$F$231:$G$461,2,FALSE)</f>
        <v>Saúde</v>
      </c>
      <c r="Z168" s="68">
        <f>VLOOKUP(W168,'[1]POS_EAD_0112 a 3101_CAMP. REG)'!$F$231:$H$461,3,FALSE)</f>
        <v>12</v>
      </c>
      <c r="AA168" s="68">
        <f>VLOOKUP(W168,'[1]POS_EAD_0112 a 3101_CAMP. REG)'!$F$231:$I$461,4,FALSE)</f>
        <v>19</v>
      </c>
      <c r="AB168" s="73">
        <f>VLOOKUP(W168,'[1]POS_EAD_0112 a 3101_CAMP. REG)'!$F$231:$J$461,5,FALSE)</f>
        <v>300.91749900000002</v>
      </c>
      <c r="AC168" s="72">
        <f>VLOOKUP(W168,'[1]POS_EAD_0112 a 3101_CAMP. REG)'!$F$231:$L$461,7,FALSE)</f>
        <v>0.45</v>
      </c>
      <c r="AD168" s="73">
        <f>VLOOKUP(W168,'[1]POS_EAD_0112 a 3101_CAMP. REG)'!$F$231:$M$461,8,FALSE)</f>
        <v>148.94999999999999</v>
      </c>
      <c r="AE168" s="72">
        <f>VLOOKUP(W168,'[1]POS_EAD_0112 a 3101_CAMP. REG)'!$F$231:$P$461,11,FALSE)</f>
        <v>0.5</v>
      </c>
      <c r="AF168" s="73">
        <f>VLOOKUP(W168,'[1]POS_EAD_0112 a 3101_CAMP. REG)'!$F$231:$Q$461,12,FALSE)</f>
        <v>135.41</v>
      </c>
      <c r="AH168" s="121" t="s">
        <v>160</v>
      </c>
      <c r="AI168" s="69" t="s">
        <v>19</v>
      </c>
      <c r="AJ168" s="68" t="str">
        <f>VLOOKUP(UNG[[#This Row],[CURSO]],'[1]POS_EAD_0112 a 3101_CAMP. REG)'!$F$463:$G$688,2,FALSE)</f>
        <v>Saúde</v>
      </c>
      <c r="AK168" s="68">
        <f>VLOOKUP(UNG[[#This Row],[CURSO]],'[1]POS_EAD_0112 a 3101_CAMP. REG)'!$F$463:$H$688,3,FALSE)</f>
        <v>12</v>
      </c>
      <c r="AL168" s="68">
        <f>VLOOKUP(UNG[[#This Row],[CURSO]],'[1]POS_EAD_0112 a 3101_CAMP. REG)'!$F$463:$I$688,4,FALSE)</f>
        <v>19</v>
      </c>
      <c r="AM168" s="71">
        <f>VLOOKUP(UNG[[#This Row],[CURSO]],'[1]POS_EAD_0112 a 3101_CAMP. REG)'!$F$463:$J$688,5,FALSE)</f>
        <v>277.58266800000001</v>
      </c>
      <c r="AN168" s="124">
        <f>VLOOKUP(UNG[[#This Row],[CURSO]],'[1]POS_EAD_0112 a 3101_CAMP. REG)'!$F$463:$L$688,7,FALSE)</f>
        <v>0.45</v>
      </c>
      <c r="AO168" s="71">
        <f>VLOOKUP(UNG[[#This Row],[CURSO]],'[1]POS_EAD_0112 a 3101_CAMP. REG)'!$F$463:$M$688,8,FALSE)</f>
        <v>137.4</v>
      </c>
      <c r="AP168" s="124">
        <f>VLOOKUP(UNG[[#This Row],[CURSO]],'[1]POS_EAD_0112 a 3101_CAMP. REG)'!$F$463:$P$688,11,FALSE)</f>
        <v>0.5</v>
      </c>
      <c r="AQ168" s="71">
        <f>VLOOKUP(UNG[[#This Row],[CURSO]],'[1]POS_EAD_0112 a 3101_CAMP. REG)'!$F$463:$Q$688,12,FALSE)</f>
        <v>124.91</v>
      </c>
      <c r="AS168" s="121" t="s">
        <v>160</v>
      </c>
      <c r="AT168" s="69" t="s">
        <v>19</v>
      </c>
      <c r="AU168" s="69" t="str">
        <f>VLOOKUP(UNINASSAU[[#This Row],[CURSO]],'[1]POS_EAD_0112 a 3101_CAMP. REG)'!$F$690:$G$915,2,FALSE)</f>
        <v>Saúde</v>
      </c>
      <c r="AV168" s="69">
        <f>VLOOKUP(UNINASSAU[[#This Row],[CURSO]],'[1]POS_EAD_0112 a 3101_CAMP. REG)'!$F$690:$H$915,3,FALSE)</f>
        <v>12</v>
      </c>
      <c r="AW168" s="69">
        <f>VLOOKUP(UNINASSAU[[#This Row],[CURSO]],'[1]POS_EAD_0112 a 3101_CAMP. REG)'!$F$690:$I$915,4,FALSE)</f>
        <v>19</v>
      </c>
      <c r="AX168" s="73">
        <f>VLOOKUP(UNINASSAU[[#This Row],[CURSO]],'[1]POS_EAD_0112 a 3101_CAMP. REG)'!$F$690:$J$915,5,FALSE)</f>
        <v>277.58266800000001</v>
      </c>
      <c r="AY168" s="72">
        <f>VLOOKUP(UNINASSAU[[#This Row],[CURSO]],'[1]POS_EAD_0112 a 3101_CAMP. REG)'!$F$690:$L$915,7,FALSE)</f>
        <v>0.45</v>
      </c>
      <c r="AZ168" s="73">
        <f>VLOOKUP(UNINASSAU[[#This Row],[CURSO]],'[1]POS_EAD_0112 a 3101_CAMP. REG)'!$F$690:$N$915,8,FALSE)</f>
        <v>137.4</v>
      </c>
      <c r="BA168" s="72">
        <f>VLOOKUP(UNINASSAU[[#This Row],[CURSO]],'[1]POS_EAD_0112 a 3101_CAMP. REG)'!$F$690:$P$915,11,FALSE)</f>
        <v>0.5</v>
      </c>
      <c r="BB168" s="73">
        <f>VLOOKUP(UNINASSAU[[#This Row],[CURSO]],'[1]POS_EAD_0112 a 3101_CAMP. REG)'!$F$690:$Q$915,12,FALSE)</f>
        <v>124.91</v>
      </c>
      <c r="BD168" s="104">
        <v>165</v>
      </c>
      <c r="BE168" s="121" t="s">
        <v>160</v>
      </c>
      <c r="BF168" s="69" t="s">
        <v>19</v>
      </c>
    </row>
    <row r="169" spans="12:58" x14ac:dyDescent="0.25">
      <c r="L169" s="121" t="s">
        <v>196</v>
      </c>
      <c r="M169" s="69" t="s">
        <v>19</v>
      </c>
      <c r="N169" s="69" t="str">
        <f>VLOOKUP($L$4,'[1]POS_EAD_0112 a 3101_CAMP. REG)'!$F$5:$G$231,2,FALSE)</f>
        <v>Humanas</v>
      </c>
      <c r="O169" s="69">
        <f>VLOOKUP(L169,'[1]POS_EAD_0112 a 3101_CAMP. REG)'!$F$5:$H$231,3,FALSE)</f>
        <v>12</v>
      </c>
      <c r="P169" s="68">
        <f>VLOOKUP(L169,'[1]POS_EAD_0112 a 3101_CAMP. REG)'!$F$5:$I$231,4,FALSE)</f>
        <v>19</v>
      </c>
      <c r="Q169" s="73">
        <f>VLOOKUP(L169,'[1]POS_EAD_0112 a 3101_CAMP. REG)'!$F$5:$J$231,5,FALSE)</f>
        <v>184.28091221052631</v>
      </c>
      <c r="R169" s="124">
        <f>VLOOKUP(L169,'[1]POS_EAD_0112 a 3101_CAMP. REG)'!$F$5:$L$231,7,FALSE)</f>
        <v>0.45</v>
      </c>
      <c r="S169" s="73">
        <f>VLOOKUP(L169,'[1]POS_EAD_0112 a 3101_CAMP. REG)'!$F$5:$M$231,8,FALSE)</f>
        <v>91.22</v>
      </c>
      <c r="T169" s="124">
        <f>VLOOKUP(L169,'[1]POS_EAD_0112 a 3101_CAMP. REG)'!$F$5:$P$231,11,FALSE)</f>
        <v>0.5</v>
      </c>
      <c r="U169" s="73">
        <f>VLOOKUP(L169,'[1]POS_EAD_0112 a 3101_CAMP. REG)'!$F$5:$Q$231,12,FALSE)</f>
        <v>82.93</v>
      </c>
      <c r="W169" s="121" t="s">
        <v>196</v>
      </c>
      <c r="X169" s="69" t="s">
        <v>19</v>
      </c>
      <c r="Y169" s="69" t="str">
        <f>VLOOKUP(W169,'[1]POS_EAD_0112 a 3101_CAMP. REG)'!$F$231:$G$461,2,FALSE)</f>
        <v>Humanas</v>
      </c>
      <c r="Z169" s="68">
        <f>VLOOKUP(W169,'[1]POS_EAD_0112 a 3101_CAMP. REG)'!$F$231:$H$461,3,FALSE)</f>
        <v>12</v>
      </c>
      <c r="AA169" s="68">
        <f>VLOOKUP(W169,'[1]POS_EAD_0112 a 3101_CAMP. REG)'!$F$231:$I$461,4,FALSE)</f>
        <v>19</v>
      </c>
      <c r="AB169" s="73">
        <f>VLOOKUP(W169,'[1]POS_EAD_0112 a 3101_CAMP. REG)'!$F$231:$J$461,5,FALSE)</f>
        <v>207.609666</v>
      </c>
      <c r="AC169" s="72">
        <f>VLOOKUP(W169,'[1]POS_EAD_0112 a 3101_CAMP. REG)'!$F$231:$L$461,7,FALSE)</f>
        <v>0.45</v>
      </c>
      <c r="AD169" s="73">
        <f>VLOOKUP(W169,'[1]POS_EAD_0112 a 3101_CAMP. REG)'!$F$231:$M$461,8,FALSE)</f>
        <v>102.77</v>
      </c>
      <c r="AE169" s="72">
        <f>VLOOKUP(W169,'[1]POS_EAD_0112 a 3101_CAMP. REG)'!$F$231:$P$461,11,FALSE)</f>
        <v>0.5</v>
      </c>
      <c r="AF169" s="73">
        <f>VLOOKUP(W169,'[1]POS_EAD_0112 a 3101_CAMP. REG)'!$F$231:$Q$461,12,FALSE)</f>
        <v>93.42</v>
      </c>
      <c r="AH169" s="121" t="s">
        <v>196</v>
      </c>
      <c r="AI169" s="69" t="s">
        <v>19</v>
      </c>
      <c r="AJ169" s="68" t="str">
        <f>VLOOKUP(UNG[[#This Row],[CURSO]],'[1]POS_EAD_0112 a 3101_CAMP. REG)'!$F$463:$G$688,2,FALSE)</f>
        <v>Humanas</v>
      </c>
      <c r="AK169" s="68">
        <f>VLOOKUP(UNG[[#This Row],[CURSO]],'[1]POS_EAD_0112 a 3101_CAMP. REG)'!$F$463:$H$688,3,FALSE)</f>
        <v>12</v>
      </c>
      <c r="AL169" s="68">
        <f>VLOOKUP(UNG[[#This Row],[CURSO]],'[1]POS_EAD_0112 a 3101_CAMP. REG)'!$F$463:$I$688,4,FALSE)</f>
        <v>19</v>
      </c>
      <c r="AM169" s="71">
        <f>VLOOKUP(UNG[[#This Row],[CURSO]],'[1]POS_EAD_0112 a 3101_CAMP. REG)'!$F$463:$J$688,5,FALSE)</f>
        <v>184.28091221052631</v>
      </c>
      <c r="AN169" s="124">
        <f>VLOOKUP(UNG[[#This Row],[CURSO]],'[1]POS_EAD_0112 a 3101_CAMP. REG)'!$F$463:$L$688,7,FALSE)</f>
        <v>0.45</v>
      </c>
      <c r="AO169" s="71">
        <f>VLOOKUP(UNG[[#This Row],[CURSO]],'[1]POS_EAD_0112 a 3101_CAMP. REG)'!$F$463:$M$688,8,FALSE)</f>
        <v>91.22</v>
      </c>
      <c r="AP169" s="124">
        <f>VLOOKUP(UNG[[#This Row],[CURSO]],'[1]POS_EAD_0112 a 3101_CAMP. REG)'!$F$463:$P$688,11,FALSE)</f>
        <v>0.5</v>
      </c>
      <c r="AQ169" s="71">
        <f>VLOOKUP(UNG[[#This Row],[CURSO]],'[1]POS_EAD_0112 a 3101_CAMP. REG)'!$F$463:$Q$688,12,FALSE)</f>
        <v>82.93</v>
      </c>
      <c r="AS169" s="121" t="s">
        <v>196</v>
      </c>
      <c r="AT169" s="69" t="s">
        <v>19</v>
      </c>
      <c r="AU169" s="69" t="str">
        <f>VLOOKUP(UNINASSAU[[#This Row],[CURSO]],'[1]POS_EAD_0112 a 3101_CAMP. REG)'!$F$690:$G$915,2,FALSE)</f>
        <v>Humanas</v>
      </c>
      <c r="AV169" s="69">
        <f>VLOOKUP(UNINASSAU[[#This Row],[CURSO]],'[1]POS_EAD_0112 a 3101_CAMP. REG)'!$F$690:$H$915,3,FALSE)</f>
        <v>12</v>
      </c>
      <c r="AW169" s="69">
        <f>VLOOKUP(UNINASSAU[[#This Row],[CURSO]],'[1]POS_EAD_0112 a 3101_CAMP. REG)'!$F$690:$I$915,4,FALSE)</f>
        <v>19</v>
      </c>
      <c r="AX169" s="73">
        <f>VLOOKUP(UNINASSAU[[#This Row],[CURSO]],'[1]POS_EAD_0112 a 3101_CAMP. REG)'!$F$690:$J$915,5,FALSE)</f>
        <v>184.28091221052631</v>
      </c>
      <c r="AY169" s="72">
        <f>VLOOKUP(UNINASSAU[[#This Row],[CURSO]],'[1]POS_EAD_0112 a 3101_CAMP. REG)'!$F$690:$L$915,7,FALSE)</f>
        <v>0.45</v>
      </c>
      <c r="AZ169" s="73">
        <f>VLOOKUP(UNINASSAU[[#This Row],[CURSO]],'[1]POS_EAD_0112 a 3101_CAMP. REG)'!$F$690:$N$915,8,FALSE)</f>
        <v>91.22</v>
      </c>
      <c r="BA169" s="72">
        <f>VLOOKUP(UNINASSAU[[#This Row],[CURSO]],'[1]POS_EAD_0112 a 3101_CAMP. REG)'!$F$690:$P$915,11,FALSE)</f>
        <v>0.5</v>
      </c>
      <c r="BB169" s="73">
        <f>VLOOKUP(UNINASSAU[[#This Row],[CURSO]],'[1]POS_EAD_0112 a 3101_CAMP. REG)'!$F$690:$Q$915,12,FALSE)</f>
        <v>82.93</v>
      </c>
      <c r="BD169" s="104">
        <v>166</v>
      </c>
      <c r="BE169" s="121" t="s">
        <v>196</v>
      </c>
      <c r="BF169" s="69" t="s">
        <v>19</v>
      </c>
    </row>
    <row r="170" spans="12:58" x14ac:dyDescent="0.25">
      <c r="L170" s="121" t="s">
        <v>236</v>
      </c>
      <c r="M170" s="69" t="s">
        <v>19</v>
      </c>
      <c r="N170" s="69" t="str">
        <f>VLOOKUP($L$4,'[1]POS_EAD_0112 a 3101_CAMP. REG)'!$F$5:$G$231,2,FALSE)</f>
        <v>Humanas</v>
      </c>
      <c r="O170" s="69">
        <f>VLOOKUP(L170,'[1]POS_EAD_0112 a 3101_CAMP. REG)'!$F$5:$H$231,3,FALSE)</f>
        <v>6</v>
      </c>
      <c r="P170" s="68">
        <f>VLOOKUP(L170,'[1]POS_EAD_0112 a 3101_CAMP. REG)'!$F$5:$I$231,4,FALSE)</f>
        <v>13</v>
      </c>
      <c r="Q170" s="73">
        <f>VLOOKUP(L170,'[1]POS_EAD_0112 a 3101_CAMP. REG)'!$F$5:$J$231,5,FALSE)</f>
        <v>269.33202599999998</v>
      </c>
      <c r="R170" s="124">
        <f>VLOOKUP(L170,'[1]POS_EAD_0112 a 3101_CAMP. REG)'!$F$5:$L$231,7,FALSE)</f>
        <v>0.45</v>
      </c>
      <c r="S170" s="73">
        <f>VLOOKUP(L170,'[1]POS_EAD_0112 a 3101_CAMP. REG)'!$F$5:$M$231,8,FALSE)</f>
        <v>133.32</v>
      </c>
      <c r="T170" s="124">
        <f>VLOOKUP(L170,'[1]POS_EAD_0112 a 3101_CAMP. REG)'!$F$5:$P$231,11,FALSE)</f>
        <v>0.5</v>
      </c>
      <c r="U170" s="73">
        <f>VLOOKUP(L170,'[1]POS_EAD_0112 a 3101_CAMP. REG)'!$F$5:$Q$231,12,FALSE)</f>
        <v>121.2</v>
      </c>
      <c r="W170" s="121" t="s">
        <v>236</v>
      </c>
      <c r="X170" s="69" t="s">
        <v>19</v>
      </c>
      <c r="Y170" s="69" t="str">
        <f>VLOOKUP(W170,'[1]POS_EAD_0112 a 3101_CAMP. REG)'!$F$231:$G$461,2,FALSE)</f>
        <v>Humanas</v>
      </c>
      <c r="Z170" s="68">
        <f>VLOOKUP(W170,'[1]POS_EAD_0112 a 3101_CAMP. REG)'!$F$231:$H$461,3,FALSE)</f>
        <v>6</v>
      </c>
      <c r="AA170" s="68">
        <f>VLOOKUP(W170,'[1]POS_EAD_0112 a 3101_CAMP. REG)'!$F$231:$I$461,4,FALSE)</f>
        <v>13</v>
      </c>
      <c r="AB170" s="73">
        <f>VLOOKUP(W170,'[1]POS_EAD_0112 a 3101_CAMP. REG)'!$F$231:$J$461,5,FALSE)</f>
        <v>303.42628200000001</v>
      </c>
      <c r="AC170" s="72">
        <f>VLOOKUP(W170,'[1]POS_EAD_0112 a 3101_CAMP. REG)'!$F$231:$L$461,7,FALSE)</f>
        <v>0.45</v>
      </c>
      <c r="AD170" s="73">
        <f>VLOOKUP(W170,'[1]POS_EAD_0112 a 3101_CAMP. REG)'!$F$231:$M$461,8,FALSE)</f>
        <v>150.19999999999999</v>
      </c>
      <c r="AE170" s="72">
        <f>VLOOKUP(W170,'[1]POS_EAD_0112 a 3101_CAMP. REG)'!$F$231:$P$461,11,FALSE)</f>
        <v>0.5</v>
      </c>
      <c r="AF170" s="73">
        <f>VLOOKUP(W170,'[1]POS_EAD_0112 a 3101_CAMP. REG)'!$F$231:$Q$461,12,FALSE)</f>
        <v>136.54</v>
      </c>
      <c r="AH170" s="121" t="s">
        <v>236</v>
      </c>
      <c r="AI170" s="69" t="s">
        <v>19</v>
      </c>
      <c r="AJ170" s="68" t="str">
        <f>VLOOKUP(UNG[[#This Row],[CURSO]],'[1]POS_EAD_0112 a 3101_CAMP. REG)'!$F$463:$G$688,2,FALSE)</f>
        <v>Humanas</v>
      </c>
      <c r="AK170" s="68">
        <f>VLOOKUP(UNG[[#This Row],[CURSO]],'[1]POS_EAD_0112 a 3101_CAMP. REG)'!$F$463:$H$688,3,FALSE)</f>
        <v>6</v>
      </c>
      <c r="AL170" s="68">
        <f>VLOOKUP(UNG[[#This Row],[CURSO]],'[1]POS_EAD_0112 a 3101_CAMP. REG)'!$F$463:$I$688,4,FALSE)</f>
        <v>13</v>
      </c>
      <c r="AM170" s="71">
        <f>VLOOKUP(UNG[[#This Row],[CURSO]],'[1]POS_EAD_0112 a 3101_CAMP. REG)'!$F$463:$J$688,5,FALSE)</f>
        <v>269.33202599999998</v>
      </c>
      <c r="AN170" s="124">
        <f>VLOOKUP(UNG[[#This Row],[CURSO]],'[1]POS_EAD_0112 a 3101_CAMP. REG)'!$F$463:$L$688,7,FALSE)</f>
        <v>0.45</v>
      </c>
      <c r="AO170" s="71">
        <f>VLOOKUP(UNG[[#This Row],[CURSO]],'[1]POS_EAD_0112 a 3101_CAMP. REG)'!$F$463:$M$688,8,FALSE)</f>
        <v>133.32</v>
      </c>
      <c r="AP170" s="124">
        <f>VLOOKUP(UNG[[#This Row],[CURSO]],'[1]POS_EAD_0112 a 3101_CAMP. REG)'!$F$463:$P$688,11,FALSE)</f>
        <v>0.5</v>
      </c>
      <c r="AQ170" s="71">
        <f>VLOOKUP(UNG[[#This Row],[CURSO]],'[1]POS_EAD_0112 a 3101_CAMP. REG)'!$F$463:$Q$688,12,FALSE)</f>
        <v>121.2</v>
      </c>
      <c r="AS170" s="121" t="s">
        <v>236</v>
      </c>
      <c r="AT170" s="69" t="s">
        <v>19</v>
      </c>
      <c r="AU170" s="69" t="str">
        <f>VLOOKUP(UNINASSAU[[#This Row],[CURSO]],'[1]POS_EAD_0112 a 3101_CAMP. REG)'!$F$690:$G$915,2,FALSE)</f>
        <v>Humanas</v>
      </c>
      <c r="AV170" s="69">
        <f>VLOOKUP(UNINASSAU[[#This Row],[CURSO]],'[1]POS_EAD_0112 a 3101_CAMP. REG)'!$F$690:$H$915,3,FALSE)</f>
        <v>6</v>
      </c>
      <c r="AW170" s="69">
        <f>VLOOKUP(UNINASSAU[[#This Row],[CURSO]],'[1]POS_EAD_0112 a 3101_CAMP. REG)'!$F$690:$I$915,4,FALSE)</f>
        <v>13</v>
      </c>
      <c r="AX170" s="73">
        <f>VLOOKUP(UNINASSAU[[#This Row],[CURSO]],'[1]POS_EAD_0112 a 3101_CAMP. REG)'!$F$690:$J$915,5,FALSE)</f>
        <v>269.33202599999998</v>
      </c>
      <c r="AY170" s="72">
        <f>VLOOKUP(UNINASSAU[[#This Row],[CURSO]],'[1]POS_EAD_0112 a 3101_CAMP. REG)'!$F$690:$L$915,7,FALSE)</f>
        <v>0.45</v>
      </c>
      <c r="AZ170" s="73">
        <f>VLOOKUP(UNINASSAU[[#This Row],[CURSO]],'[1]POS_EAD_0112 a 3101_CAMP. REG)'!$F$690:$N$915,8,FALSE)</f>
        <v>133.32</v>
      </c>
      <c r="BA170" s="72">
        <f>VLOOKUP(UNINASSAU[[#This Row],[CURSO]],'[1]POS_EAD_0112 a 3101_CAMP. REG)'!$F$690:$P$915,11,FALSE)</f>
        <v>0.5</v>
      </c>
      <c r="BB170" s="73">
        <f>VLOOKUP(UNINASSAU[[#This Row],[CURSO]],'[1]POS_EAD_0112 a 3101_CAMP. REG)'!$F$690:$Q$915,12,FALSE)</f>
        <v>121.2</v>
      </c>
      <c r="BD170" s="104">
        <v>167</v>
      </c>
      <c r="BE170" s="121" t="s">
        <v>236</v>
      </c>
      <c r="BF170" s="69" t="s">
        <v>19</v>
      </c>
    </row>
    <row r="171" spans="12:58" x14ac:dyDescent="0.25">
      <c r="L171" s="121" t="s">
        <v>243</v>
      </c>
      <c r="M171" s="69" t="s">
        <v>19</v>
      </c>
      <c r="N171" s="69" t="str">
        <f>VLOOKUP($L$4,'[1]POS_EAD_0112 a 3101_CAMP. REG)'!$F$5:$G$231,2,FALSE)</f>
        <v>Humanas</v>
      </c>
      <c r="O171" s="69">
        <f>VLOOKUP(L171,'[1]POS_EAD_0112 a 3101_CAMP. REG)'!$F$5:$H$231,3,FALSE)</f>
        <v>6</v>
      </c>
      <c r="P171" s="68">
        <f>VLOOKUP(L171,'[1]POS_EAD_0112 a 3101_CAMP. REG)'!$F$5:$I$231,4,FALSE)</f>
        <v>13</v>
      </c>
      <c r="Q171" s="73">
        <f>VLOOKUP(L171,'[1]POS_EAD_0112 a 3101_CAMP. REG)'!$F$5:$J$231,5,FALSE)</f>
        <v>269.33202599999998</v>
      </c>
      <c r="R171" s="124">
        <f>VLOOKUP(L171,'[1]POS_EAD_0112 a 3101_CAMP. REG)'!$F$5:$L$231,7,FALSE)</f>
        <v>0.45</v>
      </c>
      <c r="S171" s="73">
        <f>VLOOKUP(L171,'[1]POS_EAD_0112 a 3101_CAMP. REG)'!$F$5:$M$231,8,FALSE)</f>
        <v>133.32</v>
      </c>
      <c r="T171" s="124">
        <f>VLOOKUP(L171,'[1]POS_EAD_0112 a 3101_CAMP. REG)'!$F$5:$P$231,11,FALSE)</f>
        <v>0.5</v>
      </c>
      <c r="U171" s="73">
        <f>VLOOKUP(L171,'[1]POS_EAD_0112 a 3101_CAMP. REG)'!$F$5:$Q$231,12,FALSE)</f>
        <v>121.2</v>
      </c>
      <c r="W171" s="121" t="s">
        <v>243</v>
      </c>
      <c r="X171" s="69" t="s">
        <v>19</v>
      </c>
      <c r="Y171" s="69" t="str">
        <f>VLOOKUP(W171,'[1]POS_EAD_0112 a 3101_CAMP. REG)'!$F$231:$G$461,2,FALSE)</f>
        <v>Humanas</v>
      </c>
      <c r="Z171" s="68">
        <f>VLOOKUP(W171,'[1]POS_EAD_0112 a 3101_CAMP. REG)'!$F$231:$H$461,3,FALSE)</f>
        <v>6</v>
      </c>
      <c r="AA171" s="68">
        <f>VLOOKUP(W171,'[1]POS_EAD_0112 a 3101_CAMP. REG)'!$F$231:$I$461,4,FALSE)</f>
        <v>13</v>
      </c>
      <c r="AB171" s="73">
        <f>VLOOKUP(W171,'[1]POS_EAD_0112 a 3101_CAMP. REG)'!$F$231:$J$461,5,FALSE)</f>
        <v>303.42628200000001</v>
      </c>
      <c r="AC171" s="72">
        <f>VLOOKUP(W171,'[1]POS_EAD_0112 a 3101_CAMP. REG)'!$F$231:$L$461,7,FALSE)</f>
        <v>0.45</v>
      </c>
      <c r="AD171" s="73">
        <f>VLOOKUP(W171,'[1]POS_EAD_0112 a 3101_CAMP. REG)'!$F$231:$M$461,8,FALSE)</f>
        <v>150.19999999999999</v>
      </c>
      <c r="AE171" s="72">
        <f>VLOOKUP(W171,'[1]POS_EAD_0112 a 3101_CAMP. REG)'!$F$231:$P$461,11,FALSE)</f>
        <v>0.5</v>
      </c>
      <c r="AF171" s="73">
        <f>VLOOKUP(W171,'[1]POS_EAD_0112 a 3101_CAMP. REG)'!$F$231:$Q$461,12,FALSE)</f>
        <v>136.54</v>
      </c>
      <c r="AH171" s="121" t="s">
        <v>243</v>
      </c>
      <c r="AI171" s="69" t="s">
        <v>19</v>
      </c>
      <c r="AJ171" s="68" t="str">
        <f>VLOOKUP(UNG[[#This Row],[CURSO]],'[1]POS_EAD_0112 a 3101_CAMP. REG)'!$F$463:$G$688,2,FALSE)</f>
        <v>Humanas</v>
      </c>
      <c r="AK171" s="68">
        <f>VLOOKUP(UNG[[#This Row],[CURSO]],'[1]POS_EAD_0112 a 3101_CAMP. REG)'!$F$463:$H$688,3,FALSE)</f>
        <v>6</v>
      </c>
      <c r="AL171" s="68">
        <f>VLOOKUP(UNG[[#This Row],[CURSO]],'[1]POS_EAD_0112 a 3101_CAMP. REG)'!$F$463:$I$688,4,FALSE)</f>
        <v>13</v>
      </c>
      <c r="AM171" s="71">
        <f>VLOOKUP(UNG[[#This Row],[CURSO]],'[1]POS_EAD_0112 a 3101_CAMP. REG)'!$F$463:$J$688,5,FALSE)</f>
        <v>269.33202599999998</v>
      </c>
      <c r="AN171" s="124">
        <f>VLOOKUP(UNG[[#This Row],[CURSO]],'[1]POS_EAD_0112 a 3101_CAMP. REG)'!$F$463:$L$688,7,FALSE)</f>
        <v>0.45</v>
      </c>
      <c r="AO171" s="71">
        <f>VLOOKUP(UNG[[#This Row],[CURSO]],'[1]POS_EAD_0112 a 3101_CAMP. REG)'!$F$463:$M$688,8,FALSE)</f>
        <v>133.32</v>
      </c>
      <c r="AP171" s="124">
        <f>VLOOKUP(UNG[[#This Row],[CURSO]],'[1]POS_EAD_0112 a 3101_CAMP. REG)'!$F$463:$P$688,11,FALSE)</f>
        <v>0.5</v>
      </c>
      <c r="AQ171" s="71">
        <f>VLOOKUP(UNG[[#This Row],[CURSO]],'[1]POS_EAD_0112 a 3101_CAMP. REG)'!$F$463:$Q$688,12,FALSE)</f>
        <v>121.2</v>
      </c>
      <c r="AS171" s="121" t="s">
        <v>243</v>
      </c>
      <c r="AT171" s="69" t="s">
        <v>19</v>
      </c>
      <c r="AU171" s="69" t="str">
        <f>VLOOKUP(UNINASSAU[[#This Row],[CURSO]],'[1]POS_EAD_0112 a 3101_CAMP. REG)'!$F$690:$G$915,2,FALSE)</f>
        <v>Humanas</v>
      </c>
      <c r="AV171" s="69">
        <f>VLOOKUP(UNINASSAU[[#This Row],[CURSO]],'[1]POS_EAD_0112 a 3101_CAMP. REG)'!$F$690:$H$915,3,FALSE)</f>
        <v>6</v>
      </c>
      <c r="AW171" s="69">
        <f>VLOOKUP(UNINASSAU[[#This Row],[CURSO]],'[1]POS_EAD_0112 a 3101_CAMP. REG)'!$F$690:$I$915,4,FALSE)</f>
        <v>13</v>
      </c>
      <c r="AX171" s="73">
        <f>VLOOKUP(UNINASSAU[[#This Row],[CURSO]],'[1]POS_EAD_0112 a 3101_CAMP. REG)'!$F$690:$J$915,5,FALSE)</f>
        <v>269.33202599999998</v>
      </c>
      <c r="AY171" s="72">
        <f>VLOOKUP(UNINASSAU[[#This Row],[CURSO]],'[1]POS_EAD_0112 a 3101_CAMP. REG)'!$F$690:$L$915,7,FALSE)</f>
        <v>0.45</v>
      </c>
      <c r="AZ171" s="73">
        <f>VLOOKUP(UNINASSAU[[#This Row],[CURSO]],'[1]POS_EAD_0112 a 3101_CAMP. REG)'!$F$690:$N$915,8,FALSE)</f>
        <v>133.32</v>
      </c>
      <c r="BA171" s="72">
        <f>VLOOKUP(UNINASSAU[[#This Row],[CURSO]],'[1]POS_EAD_0112 a 3101_CAMP. REG)'!$F$690:$P$915,11,FALSE)</f>
        <v>0.5</v>
      </c>
      <c r="BB171" s="73">
        <f>VLOOKUP(UNINASSAU[[#This Row],[CURSO]],'[1]POS_EAD_0112 a 3101_CAMP. REG)'!$F$690:$Q$915,12,FALSE)</f>
        <v>121.2</v>
      </c>
      <c r="BD171" s="104">
        <v>168</v>
      </c>
      <c r="BE171" s="121" t="s">
        <v>243</v>
      </c>
      <c r="BF171" s="69" t="s">
        <v>19</v>
      </c>
    </row>
    <row r="172" spans="12:58" x14ac:dyDescent="0.25">
      <c r="L172" s="121" t="s">
        <v>37</v>
      </c>
      <c r="M172" s="69" t="s">
        <v>19</v>
      </c>
      <c r="N172" s="69" t="str">
        <f>VLOOKUP($L$4,'[1]POS_EAD_0112 a 3101_CAMP. REG)'!$F$5:$G$231,2,FALSE)</f>
        <v>Humanas</v>
      </c>
      <c r="O172" s="69">
        <f>VLOOKUP(L172,'[1]POS_EAD_0112 a 3101_CAMP. REG)'!$F$5:$H$231,3,FALSE)</f>
        <v>6</v>
      </c>
      <c r="P172" s="68">
        <f>VLOOKUP(L172,'[1]POS_EAD_0112 a 3101_CAMP. REG)'!$F$5:$I$231,4,FALSE)</f>
        <v>13</v>
      </c>
      <c r="Q172" s="73">
        <f>VLOOKUP(L172,'[1]POS_EAD_0112 a 3101_CAMP. REG)'!$F$5:$J$231,5,FALSE)</f>
        <v>405.70905000000005</v>
      </c>
      <c r="R172" s="124">
        <f>VLOOKUP(L172,'[1]POS_EAD_0112 a 3101_CAMP. REG)'!$F$5:$L$231,7,FALSE)</f>
        <v>0.45</v>
      </c>
      <c r="S172" s="73">
        <f>VLOOKUP(L172,'[1]POS_EAD_0112 a 3101_CAMP. REG)'!$F$5:$M$231,8,FALSE)</f>
        <v>200.83</v>
      </c>
      <c r="T172" s="124">
        <f>VLOOKUP(L172,'[1]POS_EAD_0112 a 3101_CAMP. REG)'!$F$5:$P$231,11,FALSE)</f>
        <v>0.5</v>
      </c>
      <c r="U172" s="73">
        <f>VLOOKUP(L172,'[1]POS_EAD_0112 a 3101_CAMP. REG)'!$F$5:$Q$231,12,FALSE)</f>
        <v>182.57</v>
      </c>
      <c r="W172" s="121" t="s">
        <v>37</v>
      </c>
      <c r="X172" s="69" t="s">
        <v>19</v>
      </c>
      <c r="Y172" s="69" t="str">
        <f>VLOOKUP(W172,'[1]POS_EAD_0112 a 3101_CAMP. REG)'!$F$231:$G$461,2,FALSE)</f>
        <v>Humanas</v>
      </c>
      <c r="Z172" s="68">
        <f>VLOOKUP(W172,'[1]POS_EAD_0112 a 3101_CAMP. REG)'!$F$231:$H$461,3,FALSE)</f>
        <v>6</v>
      </c>
      <c r="AA172" s="68">
        <f>VLOOKUP(W172,'[1]POS_EAD_0112 a 3101_CAMP. REG)'!$F$231:$I$461,4,FALSE)</f>
        <v>13</v>
      </c>
      <c r="AB172" s="73">
        <f>VLOOKUP(W172,'[1]POS_EAD_0112 a 3101_CAMP. REG)'!$F$231:$J$461,5,FALSE)</f>
        <v>439.79280900000003</v>
      </c>
      <c r="AC172" s="72">
        <f>VLOOKUP(W172,'[1]POS_EAD_0112 a 3101_CAMP. REG)'!$F$231:$L$461,7,FALSE)</f>
        <v>0.45</v>
      </c>
      <c r="AD172" s="73">
        <f>VLOOKUP(W172,'[1]POS_EAD_0112 a 3101_CAMP. REG)'!$F$231:$M$461,8,FALSE)</f>
        <v>217.7</v>
      </c>
      <c r="AE172" s="72">
        <f>VLOOKUP(W172,'[1]POS_EAD_0112 a 3101_CAMP. REG)'!$F$231:$P$461,11,FALSE)</f>
        <v>0.5</v>
      </c>
      <c r="AF172" s="73">
        <f>VLOOKUP(W172,'[1]POS_EAD_0112 a 3101_CAMP. REG)'!$F$231:$Q$461,12,FALSE)</f>
        <v>197.91</v>
      </c>
      <c r="AH172" s="121" t="s">
        <v>37</v>
      </c>
      <c r="AI172" s="69" t="s">
        <v>19</v>
      </c>
      <c r="AJ172" s="68" t="str">
        <f>VLOOKUP(UNG[[#This Row],[CURSO]],'[1]POS_EAD_0112 a 3101_CAMP. REG)'!$F$463:$G$688,2,FALSE)</f>
        <v>Humanas</v>
      </c>
      <c r="AK172" s="68">
        <f>VLOOKUP(UNG[[#This Row],[CURSO]],'[1]POS_EAD_0112 a 3101_CAMP. REG)'!$F$463:$H$688,3,FALSE)</f>
        <v>6</v>
      </c>
      <c r="AL172" s="68">
        <f>VLOOKUP(UNG[[#This Row],[CURSO]],'[1]POS_EAD_0112 a 3101_CAMP. REG)'!$F$463:$I$688,4,FALSE)</f>
        <v>13</v>
      </c>
      <c r="AM172" s="71">
        <f>VLOOKUP(UNG[[#This Row],[CURSO]],'[1]POS_EAD_0112 a 3101_CAMP. REG)'!$F$463:$J$688,5,FALSE)</f>
        <v>405.70905000000005</v>
      </c>
      <c r="AN172" s="124">
        <f>VLOOKUP(UNG[[#This Row],[CURSO]],'[1]POS_EAD_0112 a 3101_CAMP. REG)'!$F$463:$L$688,7,FALSE)</f>
        <v>0.45</v>
      </c>
      <c r="AO172" s="71">
        <f>VLOOKUP(UNG[[#This Row],[CURSO]],'[1]POS_EAD_0112 a 3101_CAMP. REG)'!$F$463:$M$688,8,FALSE)</f>
        <v>200.83</v>
      </c>
      <c r="AP172" s="124">
        <f>VLOOKUP(UNG[[#This Row],[CURSO]],'[1]POS_EAD_0112 a 3101_CAMP. REG)'!$F$463:$P$688,11,FALSE)</f>
        <v>0.5</v>
      </c>
      <c r="AQ172" s="71">
        <f>VLOOKUP(UNG[[#This Row],[CURSO]],'[1]POS_EAD_0112 a 3101_CAMP. REG)'!$F$463:$Q$688,12,FALSE)</f>
        <v>182.57</v>
      </c>
      <c r="AS172" s="121" t="s">
        <v>37</v>
      </c>
      <c r="AT172" s="69" t="s">
        <v>19</v>
      </c>
      <c r="AU172" s="69" t="str">
        <f>VLOOKUP(UNINASSAU[[#This Row],[CURSO]],'[1]POS_EAD_0112 a 3101_CAMP. REG)'!$F$690:$G$915,2,FALSE)</f>
        <v>Humanas</v>
      </c>
      <c r="AV172" s="69">
        <f>VLOOKUP(UNINASSAU[[#This Row],[CURSO]],'[1]POS_EAD_0112 a 3101_CAMP. REG)'!$F$690:$H$915,3,FALSE)</f>
        <v>6</v>
      </c>
      <c r="AW172" s="69">
        <f>VLOOKUP(UNINASSAU[[#This Row],[CURSO]],'[1]POS_EAD_0112 a 3101_CAMP. REG)'!$F$690:$I$915,4,FALSE)</f>
        <v>13</v>
      </c>
      <c r="AX172" s="73">
        <f>VLOOKUP(UNINASSAU[[#This Row],[CURSO]],'[1]POS_EAD_0112 a 3101_CAMP. REG)'!$F$690:$J$915,5,FALSE)</f>
        <v>405.70905000000005</v>
      </c>
      <c r="AY172" s="72">
        <f>VLOOKUP(UNINASSAU[[#This Row],[CURSO]],'[1]POS_EAD_0112 a 3101_CAMP. REG)'!$F$690:$L$915,7,FALSE)</f>
        <v>0.45</v>
      </c>
      <c r="AZ172" s="73">
        <f>VLOOKUP(UNINASSAU[[#This Row],[CURSO]],'[1]POS_EAD_0112 a 3101_CAMP. REG)'!$F$690:$N$915,8,FALSE)</f>
        <v>200.83</v>
      </c>
      <c r="BA172" s="72">
        <f>VLOOKUP(UNINASSAU[[#This Row],[CURSO]],'[1]POS_EAD_0112 a 3101_CAMP. REG)'!$F$690:$P$915,11,FALSE)</f>
        <v>0.5</v>
      </c>
      <c r="BB172" s="73">
        <f>VLOOKUP(UNINASSAU[[#This Row],[CURSO]],'[1]POS_EAD_0112 a 3101_CAMP. REG)'!$F$690:$Q$915,12,FALSE)</f>
        <v>182.57</v>
      </c>
      <c r="BD172" s="104">
        <v>169</v>
      </c>
      <c r="BE172" s="121" t="s">
        <v>37</v>
      </c>
      <c r="BF172" s="69" t="s">
        <v>19</v>
      </c>
    </row>
    <row r="173" spans="12:58" x14ac:dyDescent="0.25">
      <c r="L173" s="121" t="s">
        <v>139</v>
      </c>
      <c r="M173" s="69" t="s">
        <v>19</v>
      </c>
      <c r="N173" s="69" t="str">
        <f>VLOOKUP($L$4,'[1]POS_EAD_0112 a 3101_CAMP. REG)'!$F$5:$G$231,2,FALSE)</f>
        <v>Humanas</v>
      </c>
      <c r="O173" s="69">
        <f>VLOOKUP(L173,'[1]POS_EAD_0112 a 3101_CAMP. REG)'!$F$5:$H$231,3,FALSE)</f>
        <v>6</v>
      </c>
      <c r="P173" s="68">
        <f>VLOOKUP(L173,'[1]POS_EAD_0112 a 3101_CAMP. REG)'!$F$5:$I$231,4,FALSE)</f>
        <v>13</v>
      </c>
      <c r="Q173" s="73">
        <f>VLOOKUP(L173,'[1]POS_EAD_0112 a 3101_CAMP. REG)'!$F$5:$J$231,5,FALSE)</f>
        <v>269.33202599999998</v>
      </c>
      <c r="R173" s="124">
        <f>VLOOKUP(L173,'[1]POS_EAD_0112 a 3101_CAMP. REG)'!$F$5:$L$231,7,FALSE)</f>
        <v>0.45</v>
      </c>
      <c r="S173" s="73">
        <f>VLOOKUP(L173,'[1]POS_EAD_0112 a 3101_CAMP. REG)'!$F$5:$M$231,8,FALSE)</f>
        <v>133.32</v>
      </c>
      <c r="T173" s="124">
        <f>VLOOKUP(L173,'[1]POS_EAD_0112 a 3101_CAMP. REG)'!$F$5:$P$231,11,FALSE)</f>
        <v>0.5</v>
      </c>
      <c r="U173" s="73">
        <f>VLOOKUP(L173,'[1]POS_EAD_0112 a 3101_CAMP. REG)'!$F$5:$Q$231,12,FALSE)</f>
        <v>121.2</v>
      </c>
      <c r="W173" s="121" t="s">
        <v>139</v>
      </c>
      <c r="X173" s="69" t="s">
        <v>19</v>
      </c>
      <c r="Y173" s="69" t="str">
        <f>VLOOKUP(W173,'[1]POS_EAD_0112 a 3101_CAMP. REG)'!$F$231:$G$461,2,FALSE)</f>
        <v>Humanas</v>
      </c>
      <c r="Z173" s="68">
        <f>VLOOKUP(W173,'[1]POS_EAD_0112 a 3101_CAMP. REG)'!$F$231:$H$461,3,FALSE)</f>
        <v>6</v>
      </c>
      <c r="AA173" s="68">
        <f>VLOOKUP(W173,'[1]POS_EAD_0112 a 3101_CAMP. REG)'!$F$231:$I$461,4,FALSE)</f>
        <v>13</v>
      </c>
      <c r="AB173" s="73">
        <f>VLOOKUP(W173,'[1]POS_EAD_0112 a 3101_CAMP. REG)'!$F$231:$J$461,5,FALSE)</f>
        <v>303.42628200000001</v>
      </c>
      <c r="AC173" s="72">
        <f>VLOOKUP(W173,'[1]POS_EAD_0112 a 3101_CAMP. REG)'!$F$231:$L$461,7,FALSE)</f>
        <v>0.45</v>
      </c>
      <c r="AD173" s="73">
        <f>VLOOKUP(W173,'[1]POS_EAD_0112 a 3101_CAMP. REG)'!$F$231:$M$461,8,FALSE)</f>
        <v>150.19999999999999</v>
      </c>
      <c r="AE173" s="72">
        <f>VLOOKUP(W173,'[1]POS_EAD_0112 a 3101_CAMP. REG)'!$F$231:$P$461,11,FALSE)</f>
        <v>0.5</v>
      </c>
      <c r="AF173" s="73">
        <f>VLOOKUP(W173,'[1]POS_EAD_0112 a 3101_CAMP. REG)'!$F$231:$Q$461,12,FALSE)</f>
        <v>136.54</v>
      </c>
      <c r="AH173" s="121" t="s">
        <v>139</v>
      </c>
      <c r="AI173" s="69" t="s">
        <v>19</v>
      </c>
      <c r="AJ173" s="68" t="str">
        <f>VLOOKUP(UNG[[#This Row],[CURSO]],'[1]POS_EAD_0112 a 3101_CAMP. REG)'!$F$463:$G$688,2,FALSE)</f>
        <v>Humanas</v>
      </c>
      <c r="AK173" s="68">
        <f>VLOOKUP(UNG[[#This Row],[CURSO]],'[1]POS_EAD_0112 a 3101_CAMP. REG)'!$F$463:$H$688,3,FALSE)</f>
        <v>6</v>
      </c>
      <c r="AL173" s="68">
        <f>VLOOKUP(UNG[[#This Row],[CURSO]],'[1]POS_EAD_0112 a 3101_CAMP. REG)'!$F$463:$I$688,4,FALSE)</f>
        <v>13</v>
      </c>
      <c r="AM173" s="71">
        <f>VLOOKUP(UNG[[#This Row],[CURSO]],'[1]POS_EAD_0112 a 3101_CAMP. REG)'!$F$463:$J$688,5,FALSE)</f>
        <v>269.33202599999998</v>
      </c>
      <c r="AN173" s="124">
        <f>VLOOKUP(UNG[[#This Row],[CURSO]],'[1]POS_EAD_0112 a 3101_CAMP. REG)'!$F$463:$L$688,7,FALSE)</f>
        <v>0.45</v>
      </c>
      <c r="AO173" s="71">
        <f>VLOOKUP(UNG[[#This Row],[CURSO]],'[1]POS_EAD_0112 a 3101_CAMP. REG)'!$F$463:$M$688,8,FALSE)</f>
        <v>133.32</v>
      </c>
      <c r="AP173" s="124">
        <f>VLOOKUP(UNG[[#This Row],[CURSO]],'[1]POS_EAD_0112 a 3101_CAMP. REG)'!$F$463:$P$688,11,FALSE)</f>
        <v>0.5</v>
      </c>
      <c r="AQ173" s="71">
        <f>VLOOKUP(UNG[[#This Row],[CURSO]],'[1]POS_EAD_0112 a 3101_CAMP. REG)'!$F$463:$Q$688,12,FALSE)</f>
        <v>121.2</v>
      </c>
      <c r="AS173" s="121" t="s">
        <v>139</v>
      </c>
      <c r="AT173" s="69" t="s">
        <v>19</v>
      </c>
      <c r="AU173" s="69" t="str">
        <f>VLOOKUP(UNINASSAU[[#This Row],[CURSO]],'[1]POS_EAD_0112 a 3101_CAMP. REG)'!$F$690:$G$915,2,FALSE)</f>
        <v>Humanas</v>
      </c>
      <c r="AV173" s="69">
        <f>VLOOKUP(UNINASSAU[[#This Row],[CURSO]],'[1]POS_EAD_0112 a 3101_CAMP. REG)'!$F$690:$H$915,3,FALSE)</f>
        <v>6</v>
      </c>
      <c r="AW173" s="69">
        <f>VLOOKUP(UNINASSAU[[#This Row],[CURSO]],'[1]POS_EAD_0112 a 3101_CAMP. REG)'!$F$690:$I$915,4,FALSE)</f>
        <v>13</v>
      </c>
      <c r="AX173" s="73">
        <f>VLOOKUP(UNINASSAU[[#This Row],[CURSO]],'[1]POS_EAD_0112 a 3101_CAMP. REG)'!$F$690:$J$915,5,FALSE)</f>
        <v>269.33202599999998</v>
      </c>
      <c r="AY173" s="72">
        <f>VLOOKUP(UNINASSAU[[#This Row],[CURSO]],'[1]POS_EAD_0112 a 3101_CAMP. REG)'!$F$690:$L$915,7,FALSE)</f>
        <v>0.45</v>
      </c>
      <c r="AZ173" s="73">
        <f>VLOOKUP(UNINASSAU[[#This Row],[CURSO]],'[1]POS_EAD_0112 a 3101_CAMP. REG)'!$F$690:$N$915,8,FALSE)</f>
        <v>133.32</v>
      </c>
      <c r="BA173" s="72">
        <f>VLOOKUP(UNINASSAU[[#This Row],[CURSO]],'[1]POS_EAD_0112 a 3101_CAMP. REG)'!$F$690:$P$915,11,FALSE)</f>
        <v>0.5</v>
      </c>
      <c r="BB173" s="73">
        <f>VLOOKUP(UNINASSAU[[#This Row],[CURSO]],'[1]POS_EAD_0112 a 3101_CAMP. REG)'!$F$690:$Q$915,12,FALSE)</f>
        <v>121.2</v>
      </c>
      <c r="BD173" s="104">
        <v>170</v>
      </c>
      <c r="BE173" s="121" t="s">
        <v>139</v>
      </c>
      <c r="BF173" s="69" t="s">
        <v>19</v>
      </c>
    </row>
    <row r="174" spans="12:58" x14ac:dyDescent="0.25">
      <c r="L174" s="121" t="s">
        <v>150</v>
      </c>
      <c r="M174" s="69" t="s">
        <v>19</v>
      </c>
      <c r="N174" s="69" t="str">
        <f>VLOOKUP($L$4,'[1]POS_EAD_0112 a 3101_CAMP. REG)'!$F$5:$G$231,2,FALSE)</f>
        <v>Humanas</v>
      </c>
      <c r="O174" s="69">
        <f>VLOOKUP(L174,'[1]POS_EAD_0112 a 3101_CAMP. REG)'!$F$5:$H$231,3,FALSE)</f>
        <v>6</v>
      </c>
      <c r="P174" s="68">
        <f>VLOOKUP(L174,'[1]POS_EAD_0112 a 3101_CAMP. REG)'!$F$5:$I$231,4,FALSE)</f>
        <v>13</v>
      </c>
      <c r="Q174" s="73">
        <f>VLOOKUP(L174,'[1]POS_EAD_0112 a 3101_CAMP. REG)'!$F$5:$J$231,5,FALSE)</f>
        <v>269.33202599999998</v>
      </c>
      <c r="R174" s="124">
        <f>VLOOKUP(L174,'[1]POS_EAD_0112 a 3101_CAMP. REG)'!$F$5:$L$231,7,FALSE)</f>
        <v>0.45</v>
      </c>
      <c r="S174" s="73">
        <f>VLOOKUP(L174,'[1]POS_EAD_0112 a 3101_CAMP. REG)'!$F$5:$M$231,8,FALSE)</f>
        <v>133.32</v>
      </c>
      <c r="T174" s="124">
        <f>VLOOKUP(L174,'[1]POS_EAD_0112 a 3101_CAMP. REG)'!$F$5:$P$231,11,FALSE)</f>
        <v>0.5</v>
      </c>
      <c r="U174" s="73">
        <f>VLOOKUP(L174,'[1]POS_EAD_0112 a 3101_CAMP. REG)'!$F$5:$Q$231,12,FALSE)</f>
        <v>121.2</v>
      </c>
      <c r="W174" s="121" t="s">
        <v>150</v>
      </c>
      <c r="X174" s="69" t="s">
        <v>19</v>
      </c>
      <c r="Y174" s="69" t="str">
        <f>VLOOKUP(W174,'[1]POS_EAD_0112 a 3101_CAMP. REG)'!$F$231:$G$461,2,FALSE)</f>
        <v>Humanas</v>
      </c>
      <c r="Z174" s="68">
        <f>VLOOKUP(W174,'[1]POS_EAD_0112 a 3101_CAMP. REG)'!$F$231:$H$461,3,FALSE)</f>
        <v>6</v>
      </c>
      <c r="AA174" s="68">
        <f>VLOOKUP(W174,'[1]POS_EAD_0112 a 3101_CAMP. REG)'!$F$231:$I$461,4,FALSE)</f>
        <v>13</v>
      </c>
      <c r="AB174" s="73">
        <f>VLOOKUP(W174,'[1]POS_EAD_0112 a 3101_CAMP. REG)'!$F$231:$J$461,5,FALSE)</f>
        <v>303.42628200000001</v>
      </c>
      <c r="AC174" s="72">
        <f>VLOOKUP(W174,'[1]POS_EAD_0112 a 3101_CAMP. REG)'!$F$231:$L$461,7,FALSE)</f>
        <v>0.45</v>
      </c>
      <c r="AD174" s="73">
        <f>VLOOKUP(W174,'[1]POS_EAD_0112 a 3101_CAMP. REG)'!$F$231:$M$461,8,FALSE)</f>
        <v>150.19999999999999</v>
      </c>
      <c r="AE174" s="72">
        <f>VLOOKUP(W174,'[1]POS_EAD_0112 a 3101_CAMP. REG)'!$F$231:$P$461,11,FALSE)</f>
        <v>0.5</v>
      </c>
      <c r="AF174" s="73">
        <f>VLOOKUP(W174,'[1]POS_EAD_0112 a 3101_CAMP. REG)'!$F$231:$Q$461,12,FALSE)</f>
        <v>136.54</v>
      </c>
      <c r="AH174" s="121" t="s">
        <v>150</v>
      </c>
      <c r="AI174" s="69" t="s">
        <v>19</v>
      </c>
      <c r="AJ174" s="68" t="str">
        <f>VLOOKUP(UNG[[#This Row],[CURSO]],'[1]POS_EAD_0112 a 3101_CAMP. REG)'!$F$463:$G$688,2,FALSE)</f>
        <v>Humanas</v>
      </c>
      <c r="AK174" s="68">
        <f>VLOOKUP(UNG[[#This Row],[CURSO]],'[1]POS_EAD_0112 a 3101_CAMP. REG)'!$F$463:$H$688,3,FALSE)</f>
        <v>6</v>
      </c>
      <c r="AL174" s="68">
        <f>VLOOKUP(UNG[[#This Row],[CURSO]],'[1]POS_EAD_0112 a 3101_CAMP. REG)'!$F$463:$I$688,4,FALSE)</f>
        <v>13</v>
      </c>
      <c r="AM174" s="71">
        <f>VLOOKUP(UNG[[#This Row],[CURSO]],'[1]POS_EAD_0112 a 3101_CAMP. REG)'!$F$463:$J$688,5,FALSE)</f>
        <v>269.33202599999998</v>
      </c>
      <c r="AN174" s="124">
        <f>VLOOKUP(UNG[[#This Row],[CURSO]],'[1]POS_EAD_0112 a 3101_CAMP. REG)'!$F$463:$L$688,7,FALSE)</f>
        <v>0.45</v>
      </c>
      <c r="AO174" s="71">
        <f>VLOOKUP(UNG[[#This Row],[CURSO]],'[1]POS_EAD_0112 a 3101_CAMP. REG)'!$F$463:$M$688,8,FALSE)</f>
        <v>133.32</v>
      </c>
      <c r="AP174" s="124">
        <f>VLOOKUP(UNG[[#This Row],[CURSO]],'[1]POS_EAD_0112 a 3101_CAMP. REG)'!$F$463:$P$688,11,FALSE)</f>
        <v>0.5</v>
      </c>
      <c r="AQ174" s="71">
        <f>VLOOKUP(UNG[[#This Row],[CURSO]],'[1]POS_EAD_0112 a 3101_CAMP. REG)'!$F$463:$Q$688,12,FALSE)</f>
        <v>121.2</v>
      </c>
      <c r="AS174" s="121" t="s">
        <v>150</v>
      </c>
      <c r="AT174" s="69" t="s">
        <v>19</v>
      </c>
      <c r="AU174" s="69" t="str">
        <f>VLOOKUP(UNINASSAU[[#This Row],[CURSO]],'[1]POS_EAD_0112 a 3101_CAMP. REG)'!$F$690:$G$915,2,FALSE)</f>
        <v>Humanas</v>
      </c>
      <c r="AV174" s="69">
        <f>VLOOKUP(UNINASSAU[[#This Row],[CURSO]],'[1]POS_EAD_0112 a 3101_CAMP. REG)'!$F$690:$H$915,3,FALSE)</f>
        <v>6</v>
      </c>
      <c r="AW174" s="69">
        <f>VLOOKUP(UNINASSAU[[#This Row],[CURSO]],'[1]POS_EAD_0112 a 3101_CAMP. REG)'!$F$690:$I$915,4,FALSE)</f>
        <v>13</v>
      </c>
      <c r="AX174" s="73">
        <f>VLOOKUP(UNINASSAU[[#This Row],[CURSO]],'[1]POS_EAD_0112 a 3101_CAMP. REG)'!$F$690:$J$915,5,FALSE)</f>
        <v>269.33202599999998</v>
      </c>
      <c r="AY174" s="72">
        <f>VLOOKUP(UNINASSAU[[#This Row],[CURSO]],'[1]POS_EAD_0112 a 3101_CAMP. REG)'!$F$690:$L$915,7,FALSE)</f>
        <v>0.45</v>
      </c>
      <c r="AZ174" s="73">
        <f>VLOOKUP(UNINASSAU[[#This Row],[CURSO]],'[1]POS_EAD_0112 a 3101_CAMP. REG)'!$F$690:$N$915,8,FALSE)</f>
        <v>133.32</v>
      </c>
      <c r="BA174" s="72">
        <f>VLOOKUP(UNINASSAU[[#This Row],[CURSO]],'[1]POS_EAD_0112 a 3101_CAMP. REG)'!$F$690:$P$915,11,FALSE)</f>
        <v>0.5</v>
      </c>
      <c r="BB174" s="73">
        <f>VLOOKUP(UNINASSAU[[#This Row],[CURSO]],'[1]POS_EAD_0112 a 3101_CAMP. REG)'!$F$690:$Q$915,12,FALSE)</f>
        <v>121.2</v>
      </c>
      <c r="BD174" s="104">
        <v>171</v>
      </c>
      <c r="BE174" s="121" t="s">
        <v>150</v>
      </c>
      <c r="BF174" s="69" t="s">
        <v>19</v>
      </c>
    </row>
    <row r="175" spans="12:58" x14ac:dyDescent="0.25">
      <c r="L175" s="121" t="s">
        <v>149</v>
      </c>
      <c r="M175" s="69" t="s">
        <v>19</v>
      </c>
      <c r="N175" s="69" t="str">
        <f>VLOOKUP($L$4,'[1]POS_EAD_0112 a 3101_CAMP. REG)'!$F$5:$G$231,2,FALSE)</f>
        <v>Humanas</v>
      </c>
      <c r="O175" s="69">
        <f>VLOOKUP(L175,'[1]POS_EAD_0112 a 3101_CAMP. REG)'!$F$5:$H$231,3,FALSE)</f>
        <v>6</v>
      </c>
      <c r="P175" s="68">
        <f>VLOOKUP(L175,'[1]POS_EAD_0112 a 3101_CAMP. REG)'!$F$5:$I$231,4,FALSE)</f>
        <v>13</v>
      </c>
      <c r="Q175" s="73">
        <f>VLOOKUP(L175,'[1]POS_EAD_0112 a 3101_CAMP. REG)'!$F$5:$J$231,5,FALSE)</f>
        <v>269.33202599999998</v>
      </c>
      <c r="R175" s="124">
        <f>VLOOKUP(L175,'[1]POS_EAD_0112 a 3101_CAMP. REG)'!$F$5:$L$231,7,FALSE)</f>
        <v>0.45</v>
      </c>
      <c r="S175" s="73">
        <f>VLOOKUP(L175,'[1]POS_EAD_0112 a 3101_CAMP. REG)'!$F$5:$M$231,8,FALSE)</f>
        <v>133.32</v>
      </c>
      <c r="T175" s="124">
        <f>VLOOKUP(L175,'[1]POS_EAD_0112 a 3101_CAMP. REG)'!$F$5:$P$231,11,FALSE)</f>
        <v>0.5</v>
      </c>
      <c r="U175" s="73">
        <f>VLOOKUP(L175,'[1]POS_EAD_0112 a 3101_CAMP. REG)'!$F$5:$Q$231,12,FALSE)</f>
        <v>121.2</v>
      </c>
      <c r="W175" s="121" t="s">
        <v>149</v>
      </c>
      <c r="X175" s="69" t="s">
        <v>19</v>
      </c>
      <c r="Y175" s="69" t="str">
        <f>VLOOKUP(W175,'[1]POS_EAD_0112 a 3101_CAMP. REG)'!$F$231:$G$461,2,FALSE)</f>
        <v>Humanas</v>
      </c>
      <c r="Z175" s="68">
        <f>VLOOKUP(W175,'[1]POS_EAD_0112 a 3101_CAMP. REG)'!$F$231:$H$461,3,FALSE)</f>
        <v>6</v>
      </c>
      <c r="AA175" s="68">
        <f>VLOOKUP(W175,'[1]POS_EAD_0112 a 3101_CAMP. REG)'!$F$231:$I$461,4,FALSE)</f>
        <v>13</v>
      </c>
      <c r="AB175" s="73">
        <f>VLOOKUP(W175,'[1]POS_EAD_0112 a 3101_CAMP. REG)'!$F$231:$J$461,5,FALSE)</f>
        <v>303.42628200000001</v>
      </c>
      <c r="AC175" s="72">
        <f>VLOOKUP(W175,'[1]POS_EAD_0112 a 3101_CAMP. REG)'!$F$231:$L$461,7,FALSE)</f>
        <v>0.45</v>
      </c>
      <c r="AD175" s="73">
        <f>VLOOKUP(W175,'[1]POS_EAD_0112 a 3101_CAMP. REG)'!$F$231:$M$461,8,FALSE)</f>
        <v>150.19999999999999</v>
      </c>
      <c r="AE175" s="72">
        <f>VLOOKUP(W175,'[1]POS_EAD_0112 a 3101_CAMP. REG)'!$F$231:$P$461,11,FALSE)</f>
        <v>0.5</v>
      </c>
      <c r="AF175" s="73">
        <f>VLOOKUP(W175,'[1]POS_EAD_0112 a 3101_CAMP. REG)'!$F$231:$Q$461,12,FALSE)</f>
        <v>136.54</v>
      </c>
      <c r="AH175" s="121" t="s">
        <v>149</v>
      </c>
      <c r="AI175" s="69" t="s">
        <v>19</v>
      </c>
      <c r="AJ175" s="68" t="str">
        <f>VLOOKUP(UNG[[#This Row],[CURSO]],'[1]POS_EAD_0112 a 3101_CAMP. REG)'!$F$463:$G$688,2,FALSE)</f>
        <v>Humanas</v>
      </c>
      <c r="AK175" s="68">
        <f>VLOOKUP(UNG[[#This Row],[CURSO]],'[1]POS_EAD_0112 a 3101_CAMP. REG)'!$F$463:$H$688,3,FALSE)</f>
        <v>6</v>
      </c>
      <c r="AL175" s="68">
        <f>VLOOKUP(UNG[[#This Row],[CURSO]],'[1]POS_EAD_0112 a 3101_CAMP. REG)'!$F$463:$I$688,4,FALSE)</f>
        <v>13</v>
      </c>
      <c r="AM175" s="71">
        <f>VLOOKUP(UNG[[#This Row],[CURSO]],'[1]POS_EAD_0112 a 3101_CAMP. REG)'!$F$463:$J$688,5,FALSE)</f>
        <v>269.33202599999998</v>
      </c>
      <c r="AN175" s="124">
        <f>VLOOKUP(UNG[[#This Row],[CURSO]],'[1]POS_EAD_0112 a 3101_CAMP. REG)'!$F$463:$L$688,7,FALSE)</f>
        <v>0.45</v>
      </c>
      <c r="AO175" s="71">
        <f>VLOOKUP(UNG[[#This Row],[CURSO]],'[1]POS_EAD_0112 a 3101_CAMP. REG)'!$F$463:$M$688,8,FALSE)</f>
        <v>133.32</v>
      </c>
      <c r="AP175" s="124">
        <f>VLOOKUP(UNG[[#This Row],[CURSO]],'[1]POS_EAD_0112 a 3101_CAMP. REG)'!$F$463:$P$688,11,FALSE)</f>
        <v>0.5</v>
      </c>
      <c r="AQ175" s="71">
        <f>VLOOKUP(UNG[[#This Row],[CURSO]],'[1]POS_EAD_0112 a 3101_CAMP. REG)'!$F$463:$Q$688,12,FALSE)</f>
        <v>121.2</v>
      </c>
      <c r="AS175" s="121" t="s">
        <v>149</v>
      </c>
      <c r="AT175" s="69" t="s">
        <v>19</v>
      </c>
      <c r="AU175" s="69" t="str">
        <f>VLOOKUP(UNINASSAU[[#This Row],[CURSO]],'[1]POS_EAD_0112 a 3101_CAMP. REG)'!$F$690:$G$915,2,FALSE)</f>
        <v>Humanas</v>
      </c>
      <c r="AV175" s="69">
        <f>VLOOKUP(UNINASSAU[[#This Row],[CURSO]],'[1]POS_EAD_0112 a 3101_CAMP. REG)'!$F$690:$H$915,3,FALSE)</f>
        <v>6</v>
      </c>
      <c r="AW175" s="69">
        <f>VLOOKUP(UNINASSAU[[#This Row],[CURSO]],'[1]POS_EAD_0112 a 3101_CAMP. REG)'!$F$690:$I$915,4,FALSE)</f>
        <v>13</v>
      </c>
      <c r="AX175" s="73">
        <f>VLOOKUP(UNINASSAU[[#This Row],[CURSO]],'[1]POS_EAD_0112 a 3101_CAMP. REG)'!$F$690:$J$915,5,FALSE)</f>
        <v>269.33202599999998</v>
      </c>
      <c r="AY175" s="72">
        <f>VLOOKUP(UNINASSAU[[#This Row],[CURSO]],'[1]POS_EAD_0112 a 3101_CAMP. REG)'!$F$690:$L$915,7,FALSE)</f>
        <v>0.45</v>
      </c>
      <c r="AZ175" s="73">
        <f>VLOOKUP(UNINASSAU[[#This Row],[CURSO]],'[1]POS_EAD_0112 a 3101_CAMP. REG)'!$F$690:$N$915,8,FALSE)</f>
        <v>133.32</v>
      </c>
      <c r="BA175" s="72">
        <f>VLOOKUP(UNINASSAU[[#This Row],[CURSO]],'[1]POS_EAD_0112 a 3101_CAMP. REG)'!$F$690:$P$915,11,FALSE)</f>
        <v>0.5</v>
      </c>
      <c r="BB175" s="73">
        <f>VLOOKUP(UNINASSAU[[#This Row],[CURSO]],'[1]POS_EAD_0112 a 3101_CAMP. REG)'!$F$690:$Q$915,12,FALSE)</f>
        <v>121.2</v>
      </c>
      <c r="BD175" s="104">
        <v>172</v>
      </c>
      <c r="BE175" s="121" t="s">
        <v>149</v>
      </c>
      <c r="BF175" s="69" t="s">
        <v>19</v>
      </c>
    </row>
    <row r="176" spans="12:58" x14ac:dyDescent="0.25">
      <c r="L176" s="121" t="s">
        <v>172</v>
      </c>
      <c r="M176" s="69" t="s">
        <v>19</v>
      </c>
      <c r="N176" s="69" t="str">
        <f>VLOOKUP($L$4,'[1]POS_EAD_0112 a 3101_CAMP. REG)'!$F$5:$G$231,2,FALSE)</f>
        <v>Humanas</v>
      </c>
      <c r="O176" s="69">
        <f>VLOOKUP(L176,'[1]POS_EAD_0112 a 3101_CAMP. REG)'!$F$5:$H$231,3,FALSE)</f>
        <v>6</v>
      </c>
      <c r="P176" s="68">
        <f>VLOOKUP(L176,'[1]POS_EAD_0112 a 3101_CAMP. REG)'!$F$5:$I$231,4,FALSE)</f>
        <v>13</v>
      </c>
      <c r="Q176" s="73">
        <f>VLOOKUP(L176,'[1]POS_EAD_0112 a 3101_CAMP. REG)'!$F$5:$J$231,5,FALSE)</f>
        <v>269.33202599999998</v>
      </c>
      <c r="R176" s="124">
        <f>VLOOKUP(L176,'[1]POS_EAD_0112 a 3101_CAMP. REG)'!$F$5:$L$231,7,FALSE)</f>
        <v>0.45</v>
      </c>
      <c r="S176" s="73">
        <f>VLOOKUP(L176,'[1]POS_EAD_0112 a 3101_CAMP. REG)'!$F$5:$M$231,8,FALSE)</f>
        <v>133.32</v>
      </c>
      <c r="T176" s="124">
        <f>VLOOKUP(L176,'[1]POS_EAD_0112 a 3101_CAMP. REG)'!$F$5:$P$231,11,FALSE)</f>
        <v>0.5</v>
      </c>
      <c r="U176" s="73">
        <f>VLOOKUP(L176,'[1]POS_EAD_0112 a 3101_CAMP. REG)'!$F$5:$Q$231,12,FALSE)</f>
        <v>121.2</v>
      </c>
      <c r="W176" s="121" t="s">
        <v>172</v>
      </c>
      <c r="X176" s="69" t="s">
        <v>19</v>
      </c>
      <c r="Y176" s="69" t="str">
        <f>VLOOKUP(W176,'[1]POS_EAD_0112 a 3101_CAMP. REG)'!$F$231:$G$461,2,FALSE)</f>
        <v>Humanas</v>
      </c>
      <c r="Z176" s="68">
        <f>VLOOKUP(W176,'[1]POS_EAD_0112 a 3101_CAMP. REG)'!$F$231:$H$461,3,FALSE)</f>
        <v>6</v>
      </c>
      <c r="AA176" s="68">
        <f>VLOOKUP(W176,'[1]POS_EAD_0112 a 3101_CAMP. REG)'!$F$231:$I$461,4,FALSE)</f>
        <v>13</v>
      </c>
      <c r="AB176" s="73">
        <f>VLOOKUP(W176,'[1]POS_EAD_0112 a 3101_CAMP. REG)'!$F$231:$J$461,5,FALSE)</f>
        <v>303.42628200000001</v>
      </c>
      <c r="AC176" s="72">
        <f>VLOOKUP(W176,'[1]POS_EAD_0112 a 3101_CAMP. REG)'!$F$231:$L$461,7,FALSE)</f>
        <v>0.45</v>
      </c>
      <c r="AD176" s="73">
        <f>VLOOKUP(W176,'[1]POS_EAD_0112 a 3101_CAMP. REG)'!$F$231:$M$461,8,FALSE)</f>
        <v>150.19999999999999</v>
      </c>
      <c r="AE176" s="72">
        <f>VLOOKUP(W176,'[1]POS_EAD_0112 a 3101_CAMP. REG)'!$F$231:$P$461,11,FALSE)</f>
        <v>0.5</v>
      </c>
      <c r="AF176" s="73">
        <f>VLOOKUP(W176,'[1]POS_EAD_0112 a 3101_CAMP. REG)'!$F$231:$Q$461,12,FALSE)</f>
        <v>136.54</v>
      </c>
      <c r="AH176" s="121" t="s">
        <v>172</v>
      </c>
      <c r="AI176" s="69" t="s">
        <v>19</v>
      </c>
      <c r="AJ176" s="68" t="str">
        <f>VLOOKUP(UNG[[#This Row],[CURSO]],'[1]POS_EAD_0112 a 3101_CAMP. REG)'!$F$463:$G$688,2,FALSE)</f>
        <v>Humanas</v>
      </c>
      <c r="AK176" s="68">
        <f>VLOOKUP(UNG[[#This Row],[CURSO]],'[1]POS_EAD_0112 a 3101_CAMP. REG)'!$F$463:$H$688,3,FALSE)</f>
        <v>6</v>
      </c>
      <c r="AL176" s="68">
        <f>VLOOKUP(UNG[[#This Row],[CURSO]],'[1]POS_EAD_0112 a 3101_CAMP. REG)'!$F$463:$I$688,4,FALSE)</f>
        <v>13</v>
      </c>
      <c r="AM176" s="71">
        <f>VLOOKUP(UNG[[#This Row],[CURSO]],'[1]POS_EAD_0112 a 3101_CAMP. REG)'!$F$463:$J$688,5,FALSE)</f>
        <v>269.33202599999998</v>
      </c>
      <c r="AN176" s="124">
        <f>VLOOKUP(UNG[[#This Row],[CURSO]],'[1]POS_EAD_0112 a 3101_CAMP. REG)'!$F$463:$L$688,7,FALSE)</f>
        <v>0.45</v>
      </c>
      <c r="AO176" s="71">
        <f>VLOOKUP(UNG[[#This Row],[CURSO]],'[1]POS_EAD_0112 a 3101_CAMP. REG)'!$F$463:$M$688,8,FALSE)</f>
        <v>133.32</v>
      </c>
      <c r="AP176" s="124">
        <f>VLOOKUP(UNG[[#This Row],[CURSO]],'[1]POS_EAD_0112 a 3101_CAMP. REG)'!$F$463:$P$688,11,FALSE)</f>
        <v>0.5</v>
      </c>
      <c r="AQ176" s="71">
        <f>VLOOKUP(UNG[[#This Row],[CURSO]],'[1]POS_EAD_0112 a 3101_CAMP. REG)'!$F$463:$Q$688,12,FALSE)</f>
        <v>121.2</v>
      </c>
      <c r="AS176" s="121" t="s">
        <v>172</v>
      </c>
      <c r="AT176" s="69" t="s">
        <v>19</v>
      </c>
      <c r="AU176" s="69" t="str">
        <f>VLOOKUP(UNINASSAU[[#This Row],[CURSO]],'[1]POS_EAD_0112 a 3101_CAMP. REG)'!$F$690:$G$915,2,FALSE)</f>
        <v>Humanas</v>
      </c>
      <c r="AV176" s="69">
        <f>VLOOKUP(UNINASSAU[[#This Row],[CURSO]],'[1]POS_EAD_0112 a 3101_CAMP. REG)'!$F$690:$H$915,3,FALSE)</f>
        <v>6</v>
      </c>
      <c r="AW176" s="69">
        <f>VLOOKUP(UNINASSAU[[#This Row],[CURSO]],'[1]POS_EAD_0112 a 3101_CAMP. REG)'!$F$690:$I$915,4,FALSE)</f>
        <v>13</v>
      </c>
      <c r="AX176" s="73">
        <f>VLOOKUP(UNINASSAU[[#This Row],[CURSO]],'[1]POS_EAD_0112 a 3101_CAMP. REG)'!$F$690:$J$915,5,FALSE)</f>
        <v>269.33202599999998</v>
      </c>
      <c r="AY176" s="72">
        <f>VLOOKUP(UNINASSAU[[#This Row],[CURSO]],'[1]POS_EAD_0112 a 3101_CAMP. REG)'!$F$690:$L$915,7,FALSE)</f>
        <v>0.45</v>
      </c>
      <c r="AZ176" s="73">
        <f>VLOOKUP(UNINASSAU[[#This Row],[CURSO]],'[1]POS_EAD_0112 a 3101_CAMP. REG)'!$F$690:$N$915,8,FALSE)</f>
        <v>133.32</v>
      </c>
      <c r="BA176" s="72">
        <f>VLOOKUP(UNINASSAU[[#This Row],[CURSO]],'[1]POS_EAD_0112 a 3101_CAMP. REG)'!$F$690:$P$915,11,FALSE)</f>
        <v>0.5</v>
      </c>
      <c r="BB176" s="73">
        <f>VLOOKUP(UNINASSAU[[#This Row],[CURSO]],'[1]POS_EAD_0112 a 3101_CAMP. REG)'!$F$690:$Q$915,12,FALSE)</f>
        <v>121.2</v>
      </c>
      <c r="BD176" s="104">
        <v>173</v>
      </c>
      <c r="BE176" s="121" t="s">
        <v>172</v>
      </c>
      <c r="BF176" s="69" t="s">
        <v>19</v>
      </c>
    </row>
    <row r="177" spans="12:58" x14ac:dyDescent="0.25">
      <c r="L177" s="121" t="s">
        <v>163</v>
      </c>
      <c r="M177" s="69" t="s">
        <v>19</v>
      </c>
      <c r="N177" s="69" t="str">
        <f>VLOOKUP($L$4,'[1]POS_EAD_0112 a 3101_CAMP. REG)'!$F$5:$G$231,2,FALSE)</f>
        <v>Humanas</v>
      </c>
      <c r="O177" s="69">
        <f>VLOOKUP(L177,'[1]POS_EAD_0112 a 3101_CAMP. REG)'!$F$5:$H$231,3,FALSE)</f>
        <v>6</v>
      </c>
      <c r="P177" s="68">
        <f>VLOOKUP(L177,'[1]POS_EAD_0112 a 3101_CAMP. REG)'!$F$5:$I$231,4,FALSE)</f>
        <v>13</v>
      </c>
      <c r="Q177" s="73">
        <f>VLOOKUP(L177,'[1]POS_EAD_0112 a 3101_CAMP. REG)'!$F$5:$J$231,5,FALSE)</f>
        <v>269.33202599999998</v>
      </c>
      <c r="R177" s="124">
        <f>VLOOKUP(L177,'[1]POS_EAD_0112 a 3101_CAMP. REG)'!$F$5:$L$231,7,FALSE)</f>
        <v>0.45</v>
      </c>
      <c r="S177" s="73">
        <f>VLOOKUP(L177,'[1]POS_EAD_0112 a 3101_CAMP. REG)'!$F$5:$M$231,8,FALSE)</f>
        <v>133.32</v>
      </c>
      <c r="T177" s="124">
        <f>VLOOKUP(L177,'[1]POS_EAD_0112 a 3101_CAMP. REG)'!$F$5:$P$231,11,FALSE)</f>
        <v>0.5</v>
      </c>
      <c r="U177" s="73">
        <f>VLOOKUP(L177,'[1]POS_EAD_0112 a 3101_CAMP. REG)'!$F$5:$Q$231,12,FALSE)</f>
        <v>121.2</v>
      </c>
      <c r="W177" s="121" t="s">
        <v>163</v>
      </c>
      <c r="X177" s="69" t="s">
        <v>19</v>
      </c>
      <c r="Y177" s="69" t="str">
        <f>VLOOKUP(W177,'[1]POS_EAD_0112 a 3101_CAMP. REG)'!$F$231:$G$461,2,FALSE)</f>
        <v>Humanas</v>
      </c>
      <c r="Z177" s="68">
        <f>VLOOKUP(W177,'[1]POS_EAD_0112 a 3101_CAMP. REG)'!$F$231:$H$461,3,FALSE)</f>
        <v>6</v>
      </c>
      <c r="AA177" s="68">
        <f>VLOOKUP(W177,'[1]POS_EAD_0112 a 3101_CAMP. REG)'!$F$231:$I$461,4,FALSE)</f>
        <v>13</v>
      </c>
      <c r="AB177" s="73">
        <f>VLOOKUP(W177,'[1]POS_EAD_0112 a 3101_CAMP. REG)'!$F$231:$J$461,5,FALSE)</f>
        <v>303.42628200000001</v>
      </c>
      <c r="AC177" s="72">
        <f>VLOOKUP(W177,'[1]POS_EAD_0112 a 3101_CAMP. REG)'!$F$231:$L$461,7,FALSE)</f>
        <v>0.45</v>
      </c>
      <c r="AD177" s="73">
        <f>VLOOKUP(W177,'[1]POS_EAD_0112 a 3101_CAMP. REG)'!$F$231:$M$461,8,FALSE)</f>
        <v>150.19999999999999</v>
      </c>
      <c r="AE177" s="72">
        <f>VLOOKUP(W177,'[1]POS_EAD_0112 a 3101_CAMP. REG)'!$F$231:$P$461,11,FALSE)</f>
        <v>0.5</v>
      </c>
      <c r="AF177" s="73">
        <f>VLOOKUP(W177,'[1]POS_EAD_0112 a 3101_CAMP. REG)'!$F$231:$Q$461,12,FALSE)</f>
        <v>136.54</v>
      </c>
      <c r="AH177" s="121" t="s">
        <v>163</v>
      </c>
      <c r="AI177" s="69" t="s">
        <v>19</v>
      </c>
      <c r="AJ177" s="68" t="str">
        <f>VLOOKUP(UNG[[#This Row],[CURSO]],'[1]POS_EAD_0112 a 3101_CAMP. REG)'!$F$463:$G$688,2,FALSE)</f>
        <v>Humanas</v>
      </c>
      <c r="AK177" s="68">
        <f>VLOOKUP(UNG[[#This Row],[CURSO]],'[1]POS_EAD_0112 a 3101_CAMP. REG)'!$F$463:$H$688,3,FALSE)</f>
        <v>6</v>
      </c>
      <c r="AL177" s="68">
        <f>VLOOKUP(UNG[[#This Row],[CURSO]],'[1]POS_EAD_0112 a 3101_CAMP. REG)'!$F$463:$I$688,4,FALSE)</f>
        <v>13</v>
      </c>
      <c r="AM177" s="71">
        <f>VLOOKUP(UNG[[#This Row],[CURSO]],'[1]POS_EAD_0112 a 3101_CAMP. REG)'!$F$463:$J$688,5,FALSE)</f>
        <v>269.33202599999998</v>
      </c>
      <c r="AN177" s="124">
        <f>VLOOKUP(UNG[[#This Row],[CURSO]],'[1]POS_EAD_0112 a 3101_CAMP. REG)'!$F$463:$L$688,7,FALSE)</f>
        <v>0.45</v>
      </c>
      <c r="AO177" s="71">
        <f>VLOOKUP(UNG[[#This Row],[CURSO]],'[1]POS_EAD_0112 a 3101_CAMP. REG)'!$F$463:$M$688,8,FALSE)</f>
        <v>133.32</v>
      </c>
      <c r="AP177" s="124">
        <f>VLOOKUP(UNG[[#This Row],[CURSO]],'[1]POS_EAD_0112 a 3101_CAMP. REG)'!$F$463:$P$688,11,FALSE)</f>
        <v>0.5</v>
      </c>
      <c r="AQ177" s="71">
        <f>VLOOKUP(UNG[[#This Row],[CURSO]],'[1]POS_EAD_0112 a 3101_CAMP. REG)'!$F$463:$Q$688,12,FALSE)</f>
        <v>121.2</v>
      </c>
      <c r="AS177" s="121" t="s">
        <v>163</v>
      </c>
      <c r="AT177" s="69" t="s">
        <v>19</v>
      </c>
      <c r="AU177" s="69" t="str">
        <f>VLOOKUP(UNINASSAU[[#This Row],[CURSO]],'[1]POS_EAD_0112 a 3101_CAMP. REG)'!$F$690:$G$915,2,FALSE)</f>
        <v>Humanas</v>
      </c>
      <c r="AV177" s="69">
        <f>VLOOKUP(UNINASSAU[[#This Row],[CURSO]],'[1]POS_EAD_0112 a 3101_CAMP. REG)'!$F$690:$H$915,3,FALSE)</f>
        <v>6</v>
      </c>
      <c r="AW177" s="69">
        <f>VLOOKUP(UNINASSAU[[#This Row],[CURSO]],'[1]POS_EAD_0112 a 3101_CAMP. REG)'!$F$690:$I$915,4,FALSE)</f>
        <v>13</v>
      </c>
      <c r="AX177" s="73">
        <f>VLOOKUP(UNINASSAU[[#This Row],[CURSO]],'[1]POS_EAD_0112 a 3101_CAMP. REG)'!$F$690:$J$915,5,FALSE)</f>
        <v>269.33202599999998</v>
      </c>
      <c r="AY177" s="72">
        <f>VLOOKUP(UNINASSAU[[#This Row],[CURSO]],'[1]POS_EAD_0112 a 3101_CAMP. REG)'!$F$690:$L$915,7,FALSE)</f>
        <v>0.45</v>
      </c>
      <c r="AZ177" s="73">
        <f>VLOOKUP(UNINASSAU[[#This Row],[CURSO]],'[1]POS_EAD_0112 a 3101_CAMP. REG)'!$F$690:$N$915,8,FALSE)</f>
        <v>133.32</v>
      </c>
      <c r="BA177" s="72">
        <f>VLOOKUP(UNINASSAU[[#This Row],[CURSO]],'[1]POS_EAD_0112 a 3101_CAMP. REG)'!$F$690:$P$915,11,FALSE)</f>
        <v>0.5</v>
      </c>
      <c r="BB177" s="73">
        <f>VLOOKUP(UNINASSAU[[#This Row],[CURSO]],'[1]POS_EAD_0112 a 3101_CAMP. REG)'!$F$690:$Q$915,12,FALSE)</f>
        <v>121.2</v>
      </c>
      <c r="BD177" s="104">
        <v>174</v>
      </c>
      <c r="BE177" s="121" t="s">
        <v>163</v>
      </c>
      <c r="BF177" s="69" t="s">
        <v>19</v>
      </c>
    </row>
    <row r="178" spans="12:58" x14ac:dyDescent="0.25">
      <c r="L178" s="121" t="s">
        <v>228</v>
      </c>
      <c r="M178" s="69" t="s">
        <v>19</v>
      </c>
      <c r="N178" s="69" t="str">
        <f>VLOOKUP($L$4,'[1]POS_EAD_0112 a 3101_CAMP. REG)'!$F$5:$G$231,2,FALSE)</f>
        <v>Humanas</v>
      </c>
      <c r="O178" s="69">
        <f>VLOOKUP(L178,'[1]POS_EAD_0112 a 3101_CAMP. REG)'!$F$5:$H$231,3,FALSE)</f>
        <v>6</v>
      </c>
      <c r="P178" s="68">
        <f>VLOOKUP(L178,'[1]POS_EAD_0112 a 3101_CAMP. REG)'!$F$5:$I$231,4,FALSE)</f>
        <v>13</v>
      </c>
      <c r="Q178" s="73">
        <f>VLOOKUP(L178,'[1]POS_EAD_0112 a 3101_CAMP. REG)'!$F$5:$J$231,5,FALSE)</f>
        <v>269.33202599999998</v>
      </c>
      <c r="R178" s="124">
        <f>VLOOKUP(L178,'[1]POS_EAD_0112 a 3101_CAMP. REG)'!$F$5:$L$231,7,FALSE)</f>
        <v>0.45</v>
      </c>
      <c r="S178" s="73">
        <f>VLOOKUP(L178,'[1]POS_EAD_0112 a 3101_CAMP. REG)'!$F$5:$M$231,8,FALSE)</f>
        <v>133.32</v>
      </c>
      <c r="T178" s="124">
        <f>VLOOKUP(L178,'[1]POS_EAD_0112 a 3101_CAMP. REG)'!$F$5:$P$231,11,FALSE)</f>
        <v>0.5</v>
      </c>
      <c r="U178" s="73">
        <f>VLOOKUP(L178,'[1]POS_EAD_0112 a 3101_CAMP. REG)'!$F$5:$Q$231,12,FALSE)</f>
        <v>121.2</v>
      </c>
      <c r="W178" s="121" t="s">
        <v>228</v>
      </c>
      <c r="X178" s="69" t="s">
        <v>19</v>
      </c>
      <c r="Y178" s="69" t="str">
        <f>VLOOKUP(W178,'[1]POS_EAD_0112 a 3101_CAMP. REG)'!$F$231:$G$461,2,FALSE)</f>
        <v>Humanas</v>
      </c>
      <c r="Z178" s="68">
        <f>VLOOKUP(W178,'[1]POS_EAD_0112 a 3101_CAMP. REG)'!$F$231:$H$461,3,FALSE)</f>
        <v>6</v>
      </c>
      <c r="AA178" s="68">
        <f>VLOOKUP(W178,'[1]POS_EAD_0112 a 3101_CAMP. REG)'!$F$231:$I$461,4,FALSE)</f>
        <v>13</v>
      </c>
      <c r="AB178" s="73">
        <f>VLOOKUP(W178,'[1]POS_EAD_0112 a 3101_CAMP. REG)'!$F$231:$J$461,5,FALSE)</f>
        <v>303.42628200000001</v>
      </c>
      <c r="AC178" s="72">
        <f>VLOOKUP(W178,'[1]POS_EAD_0112 a 3101_CAMP. REG)'!$F$231:$L$461,7,FALSE)</f>
        <v>0.45</v>
      </c>
      <c r="AD178" s="73">
        <f>VLOOKUP(W178,'[1]POS_EAD_0112 a 3101_CAMP. REG)'!$F$231:$M$461,8,FALSE)</f>
        <v>150.19999999999999</v>
      </c>
      <c r="AE178" s="72">
        <f>VLOOKUP(W178,'[1]POS_EAD_0112 a 3101_CAMP. REG)'!$F$231:$P$461,11,FALSE)</f>
        <v>0.5</v>
      </c>
      <c r="AF178" s="73">
        <f>VLOOKUP(W178,'[1]POS_EAD_0112 a 3101_CAMP. REG)'!$F$231:$Q$461,12,FALSE)</f>
        <v>136.54</v>
      </c>
      <c r="AH178" s="121" t="s">
        <v>228</v>
      </c>
      <c r="AI178" s="69" t="s">
        <v>19</v>
      </c>
      <c r="AJ178" s="68" t="str">
        <f>VLOOKUP(UNG[[#This Row],[CURSO]],'[1]POS_EAD_0112 a 3101_CAMP. REG)'!$F$463:$G$688,2,FALSE)</f>
        <v>Humanas</v>
      </c>
      <c r="AK178" s="68">
        <f>VLOOKUP(UNG[[#This Row],[CURSO]],'[1]POS_EAD_0112 a 3101_CAMP. REG)'!$F$463:$H$688,3,FALSE)</f>
        <v>6</v>
      </c>
      <c r="AL178" s="68">
        <f>VLOOKUP(UNG[[#This Row],[CURSO]],'[1]POS_EAD_0112 a 3101_CAMP. REG)'!$F$463:$I$688,4,FALSE)</f>
        <v>13</v>
      </c>
      <c r="AM178" s="71">
        <f>VLOOKUP(UNG[[#This Row],[CURSO]],'[1]POS_EAD_0112 a 3101_CAMP. REG)'!$F$463:$J$688,5,FALSE)</f>
        <v>269.33202599999998</v>
      </c>
      <c r="AN178" s="124">
        <f>VLOOKUP(UNG[[#This Row],[CURSO]],'[1]POS_EAD_0112 a 3101_CAMP. REG)'!$F$463:$L$688,7,FALSE)</f>
        <v>0.45</v>
      </c>
      <c r="AO178" s="71">
        <f>VLOOKUP(UNG[[#This Row],[CURSO]],'[1]POS_EAD_0112 a 3101_CAMP. REG)'!$F$463:$M$688,8,FALSE)</f>
        <v>133.32</v>
      </c>
      <c r="AP178" s="124">
        <f>VLOOKUP(UNG[[#This Row],[CURSO]],'[1]POS_EAD_0112 a 3101_CAMP. REG)'!$F$463:$P$688,11,FALSE)</f>
        <v>0.5</v>
      </c>
      <c r="AQ178" s="71">
        <f>VLOOKUP(UNG[[#This Row],[CURSO]],'[1]POS_EAD_0112 a 3101_CAMP. REG)'!$F$463:$Q$688,12,FALSE)</f>
        <v>121.2</v>
      </c>
      <c r="AS178" s="121" t="s">
        <v>228</v>
      </c>
      <c r="AT178" s="69" t="s">
        <v>19</v>
      </c>
      <c r="AU178" s="69" t="str">
        <f>VLOOKUP(UNINASSAU[[#This Row],[CURSO]],'[1]POS_EAD_0112 a 3101_CAMP. REG)'!$F$690:$G$915,2,FALSE)</f>
        <v>Humanas</v>
      </c>
      <c r="AV178" s="69">
        <f>VLOOKUP(UNINASSAU[[#This Row],[CURSO]],'[1]POS_EAD_0112 a 3101_CAMP. REG)'!$F$690:$H$915,3,FALSE)</f>
        <v>6</v>
      </c>
      <c r="AW178" s="69">
        <f>VLOOKUP(UNINASSAU[[#This Row],[CURSO]],'[1]POS_EAD_0112 a 3101_CAMP. REG)'!$F$690:$I$915,4,FALSE)</f>
        <v>13</v>
      </c>
      <c r="AX178" s="73">
        <f>VLOOKUP(UNINASSAU[[#This Row],[CURSO]],'[1]POS_EAD_0112 a 3101_CAMP. REG)'!$F$690:$J$915,5,FALSE)</f>
        <v>269.33202599999998</v>
      </c>
      <c r="AY178" s="72">
        <f>VLOOKUP(UNINASSAU[[#This Row],[CURSO]],'[1]POS_EAD_0112 a 3101_CAMP. REG)'!$F$690:$L$915,7,FALSE)</f>
        <v>0.45</v>
      </c>
      <c r="AZ178" s="73">
        <f>VLOOKUP(UNINASSAU[[#This Row],[CURSO]],'[1]POS_EAD_0112 a 3101_CAMP. REG)'!$F$690:$N$915,8,FALSE)</f>
        <v>133.32</v>
      </c>
      <c r="BA178" s="72">
        <f>VLOOKUP(UNINASSAU[[#This Row],[CURSO]],'[1]POS_EAD_0112 a 3101_CAMP. REG)'!$F$690:$P$915,11,FALSE)</f>
        <v>0.5</v>
      </c>
      <c r="BB178" s="73">
        <f>VLOOKUP(UNINASSAU[[#This Row],[CURSO]],'[1]POS_EAD_0112 a 3101_CAMP. REG)'!$F$690:$Q$915,12,FALSE)</f>
        <v>121.2</v>
      </c>
      <c r="BD178" s="104">
        <v>175</v>
      </c>
      <c r="BE178" s="121" t="s">
        <v>228</v>
      </c>
      <c r="BF178" s="69" t="s">
        <v>19</v>
      </c>
    </row>
    <row r="179" spans="12:58" x14ac:dyDescent="0.25">
      <c r="L179" s="121" t="s">
        <v>251</v>
      </c>
      <c r="M179" s="69" t="s">
        <v>19</v>
      </c>
      <c r="N179" s="69" t="str">
        <f>VLOOKUP($L$4,'[1]POS_EAD_0112 a 3101_CAMP. REG)'!$F$5:$G$231,2,FALSE)</f>
        <v>Humanas</v>
      </c>
      <c r="O179" s="69">
        <f>VLOOKUP(L179,'[1]POS_EAD_0112 a 3101_CAMP. REG)'!$F$5:$H$231,3,FALSE)</f>
        <v>6</v>
      </c>
      <c r="P179" s="68">
        <f>VLOOKUP(L179,'[1]POS_EAD_0112 a 3101_CAMP. REG)'!$F$5:$I$231,4,FALSE)</f>
        <v>13</v>
      </c>
      <c r="Q179" s="73">
        <f>VLOOKUP(L179,'[1]POS_EAD_0112 a 3101_CAMP. REG)'!$F$5:$J$231,5,FALSE)</f>
        <v>269.33202599999998</v>
      </c>
      <c r="R179" s="124">
        <f>VLOOKUP(L179,'[1]POS_EAD_0112 a 3101_CAMP. REG)'!$F$5:$L$231,7,FALSE)</f>
        <v>0.45</v>
      </c>
      <c r="S179" s="73">
        <f>VLOOKUP(L179,'[1]POS_EAD_0112 a 3101_CAMP. REG)'!$F$5:$M$231,8,FALSE)</f>
        <v>133.32</v>
      </c>
      <c r="T179" s="124">
        <f>VLOOKUP(L179,'[1]POS_EAD_0112 a 3101_CAMP. REG)'!$F$5:$P$231,11,FALSE)</f>
        <v>0.5</v>
      </c>
      <c r="U179" s="73">
        <f>VLOOKUP(L179,'[1]POS_EAD_0112 a 3101_CAMP. REG)'!$F$5:$Q$231,12,FALSE)</f>
        <v>121.2</v>
      </c>
      <c r="W179" s="121" t="s">
        <v>251</v>
      </c>
      <c r="X179" s="69" t="s">
        <v>19</v>
      </c>
      <c r="Y179" s="69" t="str">
        <f>VLOOKUP(W179,'[1]POS_EAD_0112 a 3101_CAMP. REG)'!$F$231:$G$461,2,FALSE)</f>
        <v>Humanas</v>
      </c>
      <c r="Z179" s="68">
        <f>VLOOKUP(W179,'[1]POS_EAD_0112 a 3101_CAMP. REG)'!$F$231:$H$461,3,FALSE)</f>
        <v>6</v>
      </c>
      <c r="AA179" s="68">
        <f>VLOOKUP(W179,'[1]POS_EAD_0112 a 3101_CAMP. REG)'!$F$231:$I$461,4,FALSE)</f>
        <v>13</v>
      </c>
      <c r="AB179" s="73">
        <f>VLOOKUP(W179,'[1]POS_EAD_0112 a 3101_CAMP. REG)'!$F$231:$J$461,5,FALSE)</f>
        <v>303.42628200000001</v>
      </c>
      <c r="AC179" s="72">
        <f>VLOOKUP(W179,'[1]POS_EAD_0112 a 3101_CAMP. REG)'!$F$231:$L$461,7,FALSE)</f>
        <v>0.45</v>
      </c>
      <c r="AD179" s="73">
        <f>VLOOKUP(W179,'[1]POS_EAD_0112 a 3101_CAMP. REG)'!$F$231:$M$461,8,FALSE)</f>
        <v>150.19999999999999</v>
      </c>
      <c r="AE179" s="72">
        <f>VLOOKUP(W179,'[1]POS_EAD_0112 a 3101_CAMP. REG)'!$F$231:$P$461,11,FALSE)</f>
        <v>0.5</v>
      </c>
      <c r="AF179" s="73">
        <f>VLOOKUP(W179,'[1]POS_EAD_0112 a 3101_CAMP. REG)'!$F$231:$Q$461,12,FALSE)</f>
        <v>136.54</v>
      </c>
      <c r="AH179" s="121" t="s">
        <v>251</v>
      </c>
      <c r="AI179" s="69" t="s">
        <v>19</v>
      </c>
      <c r="AJ179" s="68" t="str">
        <f>VLOOKUP(UNG[[#This Row],[CURSO]],'[1]POS_EAD_0112 a 3101_CAMP. REG)'!$F$463:$G$688,2,FALSE)</f>
        <v>Humanas</v>
      </c>
      <c r="AK179" s="68">
        <f>VLOOKUP(UNG[[#This Row],[CURSO]],'[1]POS_EAD_0112 a 3101_CAMP. REG)'!$F$463:$H$688,3,FALSE)</f>
        <v>6</v>
      </c>
      <c r="AL179" s="68">
        <f>VLOOKUP(UNG[[#This Row],[CURSO]],'[1]POS_EAD_0112 a 3101_CAMP. REG)'!$F$463:$I$688,4,FALSE)</f>
        <v>13</v>
      </c>
      <c r="AM179" s="71">
        <f>VLOOKUP(UNG[[#This Row],[CURSO]],'[1]POS_EAD_0112 a 3101_CAMP. REG)'!$F$463:$J$688,5,FALSE)</f>
        <v>269.33202599999998</v>
      </c>
      <c r="AN179" s="124">
        <f>VLOOKUP(UNG[[#This Row],[CURSO]],'[1]POS_EAD_0112 a 3101_CAMP. REG)'!$F$463:$L$688,7,FALSE)</f>
        <v>0.45</v>
      </c>
      <c r="AO179" s="71">
        <f>VLOOKUP(UNG[[#This Row],[CURSO]],'[1]POS_EAD_0112 a 3101_CAMP. REG)'!$F$463:$M$688,8,FALSE)</f>
        <v>133.32</v>
      </c>
      <c r="AP179" s="124">
        <f>VLOOKUP(UNG[[#This Row],[CURSO]],'[1]POS_EAD_0112 a 3101_CAMP. REG)'!$F$463:$P$688,11,FALSE)</f>
        <v>0.5</v>
      </c>
      <c r="AQ179" s="71">
        <f>VLOOKUP(UNG[[#This Row],[CURSO]],'[1]POS_EAD_0112 a 3101_CAMP. REG)'!$F$463:$Q$688,12,FALSE)</f>
        <v>121.2</v>
      </c>
      <c r="AS179" s="121" t="s">
        <v>251</v>
      </c>
      <c r="AT179" s="69" t="s">
        <v>19</v>
      </c>
      <c r="AU179" s="69" t="str">
        <f>VLOOKUP(UNINASSAU[[#This Row],[CURSO]],'[1]POS_EAD_0112 a 3101_CAMP. REG)'!$F$690:$G$915,2,FALSE)</f>
        <v>Humanas</v>
      </c>
      <c r="AV179" s="69">
        <f>VLOOKUP(UNINASSAU[[#This Row],[CURSO]],'[1]POS_EAD_0112 a 3101_CAMP. REG)'!$F$690:$H$915,3,FALSE)</f>
        <v>6</v>
      </c>
      <c r="AW179" s="69">
        <f>VLOOKUP(UNINASSAU[[#This Row],[CURSO]],'[1]POS_EAD_0112 a 3101_CAMP. REG)'!$F$690:$I$915,4,FALSE)</f>
        <v>13</v>
      </c>
      <c r="AX179" s="73">
        <f>VLOOKUP(UNINASSAU[[#This Row],[CURSO]],'[1]POS_EAD_0112 a 3101_CAMP. REG)'!$F$690:$J$915,5,FALSE)</f>
        <v>269.33202599999998</v>
      </c>
      <c r="AY179" s="72">
        <f>VLOOKUP(UNINASSAU[[#This Row],[CURSO]],'[1]POS_EAD_0112 a 3101_CAMP. REG)'!$F$690:$L$915,7,FALSE)</f>
        <v>0.45</v>
      </c>
      <c r="AZ179" s="73">
        <f>VLOOKUP(UNINASSAU[[#This Row],[CURSO]],'[1]POS_EAD_0112 a 3101_CAMP. REG)'!$F$690:$N$915,8,FALSE)</f>
        <v>133.32</v>
      </c>
      <c r="BA179" s="72">
        <f>VLOOKUP(UNINASSAU[[#This Row],[CURSO]],'[1]POS_EAD_0112 a 3101_CAMP. REG)'!$F$690:$P$915,11,FALSE)</f>
        <v>0.5</v>
      </c>
      <c r="BB179" s="73">
        <f>VLOOKUP(UNINASSAU[[#This Row],[CURSO]],'[1]POS_EAD_0112 a 3101_CAMP. REG)'!$F$690:$Q$915,12,FALSE)</f>
        <v>121.2</v>
      </c>
      <c r="BD179" s="104">
        <v>176</v>
      </c>
      <c r="BE179" s="121" t="s">
        <v>251</v>
      </c>
      <c r="BF179" s="69" t="s">
        <v>19</v>
      </c>
    </row>
    <row r="180" spans="12:58" x14ac:dyDescent="0.25">
      <c r="L180" s="121" t="s">
        <v>108</v>
      </c>
      <c r="M180" s="69" t="s">
        <v>19</v>
      </c>
      <c r="N180" s="69" t="str">
        <f>VLOOKUP($L$4,'[1]POS_EAD_0112 a 3101_CAMP. REG)'!$F$5:$G$231,2,FALSE)</f>
        <v>Humanas</v>
      </c>
      <c r="O180" s="69">
        <f>VLOOKUP(L180,'[1]POS_EAD_0112 a 3101_CAMP. REG)'!$F$5:$H$231,3,FALSE)</f>
        <v>6</v>
      </c>
      <c r="P180" s="68">
        <f>VLOOKUP(L180,'[1]POS_EAD_0112 a 3101_CAMP. REG)'!$F$5:$I$231,4,FALSE)</f>
        <v>13</v>
      </c>
      <c r="Q180" s="73">
        <f>VLOOKUP(L180,'[1]POS_EAD_0112 a 3101_CAMP. REG)'!$F$5:$J$231,5,FALSE)</f>
        <v>405.70905000000005</v>
      </c>
      <c r="R180" s="124">
        <f>VLOOKUP(L180,'[1]POS_EAD_0112 a 3101_CAMP. REG)'!$F$5:$L$231,7,FALSE)</f>
        <v>0.45</v>
      </c>
      <c r="S180" s="73">
        <f>VLOOKUP(L180,'[1]POS_EAD_0112 a 3101_CAMP. REG)'!$F$5:$M$231,8,FALSE)</f>
        <v>200.83</v>
      </c>
      <c r="T180" s="124">
        <f>VLOOKUP(L180,'[1]POS_EAD_0112 a 3101_CAMP. REG)'!$F$5:$P$231,11,FALSE)</f>
        <v>0.5</v>
      </c>
      <c r="U180" s="73">
        <f>VLOOKUP(L180,'[1]POS_EAD_0112 a 3101_CAMP. REG)'!$F$5:$Q$231,12,FALSE)</f>
        <v>182.57</v>
      </c>
      <c r="W180" s="121" t="s">
        <v>108</v>
      </c>
      <c r="X180" s="69" t="s">
        <v>19</v>
      </c>
      <c r="Y180" s="69" t="str">
        <f>VLOOKUP(W180,'[1]POS_EAD_0112 a 3101_CAMP. REG)'!$F$231:$G$461,2,FALSE)</f>
        <v>Saúde</v>
      </c>
      <c r="Z180" s="68">
        <f>VLOOKUP(W180,'[1]POS_EAD_0112 a 3101_CAMP. REG)'!$F$231:$H$461,3,FALSE)</f>
        <v>6</v>
      </c>
      <c r="AA180" s="68">
        <f>VLOOKUP(W180,'[1]POS_EAD_0112 a 3101_CAMP. REG)'!$F$231:$I$461,4,FALSE)</f>
        <v>13</v>
      </c>
      <c r="AB180" s="73">
        <f>VLOOKUP(W180,'[1]POS_EAD_0112 a 3101_CAMP. REG)'!$F$231:$J$461,5,FALSE)</f>
        <v>439.79280900000003</v>
      </c>
      <c r="AC180" s="72">
        <f>VLOOKUP(W180,'[1]POS_EAD_0112 a 3101_CAMP. REG)'!$F$231:$L$461,7,FALSE)</f>
        <v>0.45</v>
      </c>
      <c r="AD180" s="73">
        <f>VLOOKUP(W180,'[1]POS_EAD_0112 a 3101_CAMP. REG)'!$F$231:$M$461,8,FALSE)</f>
        <v>217.7</v>
      </c>
      <c r="AE180" s="72">
        <f>VLOOKUP(W180,'[1]POS_EAD_0112 a 3101_CAMP. REG)'!$F$231:$P$461,11,FALSE)</f>
        <v>0.5</v>
      </c>
      <c r="AF180" s="73">
        <f>VLOOKUP(W180,'[1]POS_EAD_0112 a 3101_CAMP. REG)'!$F$231:$Q$461,12,FALSE)</f>
        <v>197.91</v>
      </c>
      <c r="AH180" s="121" t="s">
        <v>108</v>
      </c>
      <c r="AI180" s="69" t="s">
        <v>19</v>
      </c>
      <c r="AJ180" s="68" t="str">
        <f>VLOOKUP(UNG[[#This Row],[CURSO]],'[1]POS_EAD_0112 a 3101_CAMP. REG)'!$F$463:$G$688,2,FALSE)</f>
        <v>Saúde</v>
      </c>
      <c r="AK180" s="68">
        <f>VLOOKUP(UNG[[#This Row],[CURSO]],'[1]POS_EAD_0112 a 3101_CAMP. REG)'!$F$463:$H$688,3,FALSE)</f>
        <v>6</v>
      </c>
      <c r="AL180" s="68">
        <f>VLOOKUP(UNG[[#This Row],[CURSO]],'[1]POS_EAD_0112 a 3101_CAMP. REG)'!$F$463:$I$688,4,FALSE)</f>
        <v>13</v>
      </c>
      <c r="AM180" s="71">
        <f>VLOOKUP(UNG[[#This Row],[CURSO]],'[1]POS_EAD_0112 a 3101_CAMP. REG)'!$F$463:$J$688,5,FALSE)</f>
        <v>405.70905000000005</v>
      </c>
      <c r="AN180" s="124">
        <f>VLOOKUP(UNG[[#This Row],[CURSO]],'[1]POS_EAD_0112 a 3101_CAMP. REG)'!$F$463:$L$688,7,FALSE)</f>
        <v>0.45</v>
      </c>
      <c r="AO180" s="71">
        <f>VLOOKUP(UNG[[#This Row],[CURSO]],'[1]POS_EAD_0112 a 3101_CAMP. REG)'!$F$463:$M$688,8,FALSE)</f>
        <v>200.83</v>
      </c>
      <c r="AP180" s="124">
        <f>VLOOKUP(UNG[[#This Row],[CURSO]],'[1]POS_EAD_0112 a 3101_CAMP. REG)'!$F$463:$P$688,11,FALSE)</f>
        <v>0.5</v>
      </c>
      <c r="AQ180" s="71">
        <f>VLOOKUP(UNG[[#This Row],[CURSO]],'[1]POS_EAD_0112 a 3101_CAMP. REG)'!$F$463:$Q$688,12,FALSE)</f>
        <v>182.57</v>
      </c>
      <c r="AS180" s="121" t="s">
        <v>108</v>
      </c>
      <c r="AT180" s="69" t="s">
        <v>19</v>
      </c>
      <c r="AU180" s="69" t="str">
        <f>VLOOKUP(UNINASSAU[[#This Row],[CURSO]],'[1]POS_EAD_0112 a 3101_CAMP. REG)'!$F$690:$G$915,2,FALSE)</f>
        <v>Saúde</v>
      </c>
      <c r="AV180" s="69">
        <f>VLOOKUP(UNINASSAU[[#This Row],[CURSO]],'[1]POS_EAD_0112 a 3101_CAMP. REG)'!$F$690:$H$915,3,FALSE)</f>
        <v>6</v>
      </c>
      <c r="AW180" s="69">
        <f>VLOOKUP(UNINASSAU[[#This Row],[CURSO]],'[1]POS_EAD_0112 a 3101_CAMP. REG)'!$F$690:$I$915,4,FALSE)</f>
        <v>13</v>
      </c>
      <c r="AX180" s="73">
        <f>VLOOKUP(UNINASSAU[[#This Row],[CURSO]],'[1]POS_EAD_0112 a 3101_CAMP. REG)'!$F$690:$J$915,5,FALSE)</f>
        <v>405.70905000000005</v>
      </c>
      <c r="AY180" s="72">
        <f>VLOOKUP(UNINASSAU[[#This Row],[CURSO]],'[1]POS_EAD_0112 a 3101_CAMP. REG)'!$F$690:$L$915,7,FALSE)</f>
        <v>0.45</v>
      </c>
      <c r="AZ180" s="73">
        <f>VLOOKUP(UNINASSAU[[#This Row],[CURSO]],'[1]POS_EAD_0112 a 3101_CAMP. REG)'!$F$690:$N$915,8,FALSE)</f>
        <v>200.83</v>
      </c>
      <c r="BA180" s="72">
        <f>VLOOKUP(UNINASSAU[[#This Row],[CURSO]],'[1]POS_EAD_0112 a 3101_CAMP. REG)'!$F$690:$P$915,11,FALSE)</f>
        <v>0.5</v>
      </c>
      <c r="BB180" s="73">
        <f>VLOOKUP(UNINASSAU[[#This Row],[CURSO]],'[1]POS_EAD_0112 a 3101_CAMP. REG)'!$F$690:$Q$915,12,FALSE)</f>
        <v>182.57</v>
      </c>
      <c r="BD180" s="104">
        <v>177</v>
      </c>
      <c r="BE180" s="121" t="s">
        <v>108</v>
      </c>
      <c r="BF180" s="69" t="s">
        <v>19</v>
      </c>
    </row>
    <row r="181" spans="12:58" x14ac:dyDescent="0.25">
      <c r="L181" s="121" t="s">
        <v>178</v>
      </c>
      <c r="M181" s="69" t="s">
        <v>19</v>
      </c>
      <c r="N181" s="69" t="str">
        <f>VLOOKUP($L$4,'[1]POS_EAD_0112 a 3101_CAMP. REG)'!$F$5:$G$231,2,FALSE)</f>
        <v>Humanas</v>
      </c>
      <c r="O181" s="69">
        <f>VLOOKUP(L181,'[1]POS_EAD_0112 a 3101_CAMP. REG)'!$F$5:$H$231,3,FALSE)</f>
        <v>6</v>
      </c>
      <c r="P181" s="68">
        <f>VLOOKUP(L181,'[1]POS_EAD_0112 a 3101_CAMP. REG)'!$F$5:$I$231,4,FALSE)</f>
        <v>13</v>
      </c>
      <c r="Q181" s="73">
        <f>VLOOKUP(L181,'[1]POS_EAD_0112 a 3101_CAMP. REG)'!$F$5:$J$231,5,FALSE)</f>
        <v>269.33202599999998</v>
      </c>
      <c r="R181" s="124">
        <f>VLOOKUP(L181,'[1]POS_EAD_0112 a 3101_CAMP. REG)'!$F$5:$L$231,7,FALSE)</f>
        <v>0.45</v>
      </c>
      <c r="S181" s="73">
        <f>VLOOKUP(L181,'[1]POS_EAD_0112 a 3101_CAMP. REG)'!$F$5:$M$231,8,FALSE)</f>
        <v>133.32</v>
      </c>
      <c r="T181" s="124">
        <f>VLOOKUP(L181,'[1]POS_EAD_0112 a 3101_CAMP. REG)'!$F$5:$P$231,11,FALSE)</f>
        <v>0.5</v>
      </c>
      <c r="U181" s="73">
        <f>VLOOKUP(L181,'[1]POS_EAD_0112 a 3101_CAMP. REG)'!$F$5:$Q$231,12,FALSE)</f>
        <v>121.2</v>
      </c>
      <c r="W181" s="121" t="s">
        <v>178</v>
      </c>
      <c r="X181" s="69" t="s">
        <v>19</v>
      </c>
      <c r="Y181" s="69" t="str">
        <f>VLOOKUP(W181,'[1]POS_EAD_0112 a 3101_CAMP. REG)'!$F$231:$G$461,2,FALSE)</f>
        <v>Humanas</v>
      </c>
      <c r="Z181" s="68">
        <f>VLOOKUP(W181,'[1]POS_EAD_0112 a 3101_CAMP. REG)'!$F$231:$H$461,3,FALSE)</f>
        <v>6</v>
      </c>
      <c r="AA181" s="68">
        <f>VLOOKUP(W181,'[1]POS_EAD_0112 a 3101_CAMP. REG)'!$F$231:$I$461,4,FALSE)</f>
        <v>13</v>
      </c>
      <c r="AB181" s="73">
        <f>VLOOKUP(W181,'[1]POS_EAD_0112 a 3101_CAMP. REG)'!$F$231:$J$461,5,FALSE)</f>
        <v>303.42628200000001</v>
      </c>
      <c r="AC181" s="72">
        <f>VLOOKUP(W181,'[1]POS_EAD_0112 a 3101_CAMP. REG)'!$F$231:$L$461,7,FALSE)</f>
        <v>0.45</v>
      </c>
      <c r="AD181" s="73">
        <f>VLOOKUP(W181,'[1]POS_EAD_0112 a 3101_CAMP. REG)'!$F$231:$M$461,8,FALSE)</f>
        <v>150.19999999999999</v>
      </c>
      <c r="AE181" s="72">
        <f>VLOOKUP(W181,'[1]POS_EAD_0112 a 3101_CAMP. REG)'!$F$231:$P$461,11,FALSE)</f>
        <v>0.5</v>
      </c>
      <c r="AF181" s="73">
        <f>VLOOKUP(W181,'[1]POS_EAD_0112 a 3101_CAMP. REG)'!$F$231:$Q$461,12,FALSE)</f>
        <v>136.54</v>
      </c>
      <c r="AH181" s="121" t="s">
        <v>178</v>
      </c>
      <c r="AI181" s="69" t="s">
        <v>19</v>
      </c>
      <c r="AJ181" s="68" t="str">
        <f>VLOOKUP(UNG[[#This Row],[CURSO]],'[1]POS_EAD_0112 a 3101_CAMP. REG)'!$F$463:$G$688,2,FALSE)</f>
        <v>Humanas</v>
      </c>
      <c r="AK181" s="68">
        <f>VLOOKUP(UNG[[#This Row],[CURSO]],'[1]POS_EAD_0112 a 3101_CAMP. REG)'!$F$463:$H$688,3,FALSE)</f>
        <v>6</v>
      </c>
      <c r="AL181" s="68">
        <f>VLOOKUP(UNG[[#This Row],[CURSO]],'[1]POS_EAD_0112 a 3101_CAMP. REG)'!$F$463:$I$688,4,FALSE)</f>
        <v>13</v>
      </c>
      <c r="AM181" s="71">
        <f>VLOOKUP(UNG[[#This Row],[CURSO]],'[1]POS_EAD_0112 a 3101_CAMP. REG)'!$F$463:$J$688,5,FALSE)</f>
        <v>269.33202599999998</v>
      </c>
      <c r="AN181" s="124">
        <f>VLOOKUP(UNG[[#This Row],[CURSO]],'[1]POS_EAD_0112 a 3101_CAMP. REG)'!$F$463:$L$688,7,FALSE)</f>
        <v>0.45</v>
      </c>
      <c r="AO181" s="71">
        <f>VLOOKUP(UNG[[#This Row],[CURSO]],'[1]POS_EAD_0112 a 3101_CAMP. REG)'!$F$463:$M$688,8,FALSE)</f>
        <v>133.32</v>
      </c>
      <c r="AP181" s="124">
        <f>VLOOKUP(UNG[[#This Row],[CURSO]],'[1]POS_EAD_0112 a 3101_CAMP. REG)'!$F$463:$P$688,11,FALSE)</f>
        <v>0.5</v>
      </c>
      <c r="AQ181" s="71">
        <f>VLOOKUP(UNG[[#This Row],[CURSO]],'[1]POS_EAD_0112 a 3101_CAMP. REG)'!$F$463:$Q$688,12,FALSE)</f>
        <v>121.2</v>
      </c>
      <c r="AS181" s="121" t="s">
        <v>178</v>
      </c>
      <c r="AT181" s="69" t="s">
        <v>19</v>
      </c>
      <c r="AU181" s="69" t="str">
        <f>VLOOKUP(UNINASSAU[[#This Row],[CURSO]],'[1]POS_EAD_0112 a 3101_CAMP. REG)'!$F$690:$G$915,2,FALSE)</f>
        <v>Humanas</v>
      </c>
      <c r="AV181" s="69">
        <f>VLOOKUP(UNINASSAU[[#This Row],[CURSO]],'[1]POS_EAD_0112 a 3101_CAMP. REG)'!$F$690:$H$915,3,FALSE)</f>
        <v>6</v>
      </c>
      <c r="AW181" s="69">
        <f>VLOOKUP(UNINASSAU[[#This Row],[CURSO]],'[1]POS_EAD_0112 a 3101_CAMP. REG)'!$F$690:$I$915,4,FALSE)</f>
        <v>13</v>
      </c>
      <c r="AX181" s="73">
        <f>VLOOKUP(UNINASSAU[[#This Row],[CURSO]],'[1]POS_EAD_0112 a 3101_CAMP. REG)'!$F$690:$J$915,5,FALSE)</f>
        <v>269.33202599999998</v>
      </c>
      <c r="AY181" s="72">
        <f>VLOOKUP(UNINASSAU[[#This Row],[CURSO]],'[1]POS_EAD_0112 a 3101_CAMP. REG)'!$F$690:$L$915,7,FALSE)</f>
        <v>0.45</v>
      </c>
      <c r="AZ181" s="73">
        <f>VLOOKUP(UNINASSAU[[#This Row],[CURSO]],'[1]POS_EAD_0112 a 3101_CAMP. REG)'!$F$690:$N$915,8,FALSE)</f>
        <v>133.32</v>
      </c>
      <c r="BA181" s="72">
        <f>VLOOKUP(UNINASSAU[[#This Row],[CURSO]],'[1]POS_EAD_0112 a 3101_CAMP. REG)'!$F$690:$P$915,11,FALSE)</f>
        <v>0.5</v>
      </c>
      <c r="BB181" s="73">
        <f>VLOOKUP(UNINASSAU[[#This Row],[CURSO]],'[1]POS_EAD_0112 a 3101_CAMP. REG)'!$F$690:$Q$915,12,FALSE)</f>
        <v>121.2</v>
      </c>
      <c r="BD181" s="104">
        <v>178</v>
      </c>
      <c r="BE181" s="121" t="s">
        <v>178</v>
      </c>
      <c r="BF181" s="69" t="s">
        <v>19</v>
      </c>
    </row>
    <row r="182" spans="12:58" x14ac:dyDescent="0.25">
      <c r="L182" s="121" t="s">
        <v>185</v>
      </c>
      <c r="M182" s="69" t="s">
        <v>19</v>
      </c>
      <c r="N182" s="69" t="str">
        <f>VLOOKUP($L$4,'[1]POS_EAD_0112 a 3101_CAMP. REG)'!$F$5:$G$231,2,FALSE)</f>
        <v>Humanas</v>
      </c>
      <c r="O182" s="69">
        <f>VLOOKUP(L182,'[1]POS_EAD_0112 a 3101_CAMP. REG)'!$F$5:$H$231,3,FALSE)</f>
        <v>6</v>
      </c>
      <c r="P182" s="68">
        <f>VLOOKUP(L182,'[1]POS_EAD_0112 a 3101_CAMP. REG)'!$F$5:$I$231,4,FALSE)</f>
        <v>13</v>
      </c>
      <c r="Q182" s="73">
        <f>VLOOKUP(L182,'[1]POS_EAD_0112 a 3101_CAMP. REG)'!$F$5:$J$231,5,FALSE)</f>
        <v>269.33202599999998</v>
      </c>
      <c r="R182" s="124">
        <f>VLOOKUP(L182,'[1]POS_EAD_0112 a 3101_CAMP. REG)'!$F$5:$L$231,7,FALSE)</f>
        <v>0.45</v>
      </c>
      <c r="S182" s="73">
        <f>VLOOKUP(L182,'[1]POS_EAD_0112 a 3101_CAMP. REG)'!$F$5:$M$231,8,FALSE)</f>
        <v>133.32</v>
      </c>
      <c r="T182" s="124">
        <f>VLOOKUP(L182,'[1]POS_EAD_0112 a 3101_CAMP. REG)'!$F$5:$P$231,11,FALSE)</f>
        <v>0.5</v>
      </c>
      <c r="U182" s="73">
        <f>VLOOKUP(L182,'[1]POS_EAD_0112 a 3101_CAMP. REG)'!$F$5:$Q$231,12,FALSE)</f>
        <v>121.2</v>
      </c>
      <c r="W182" s="121" t="s">
        <v>185</v>
      </c>
      <c r="X182" s="69" t="s">
        <v>19</v>
      </c>
      <c r="Y182" s="69" t="str">
        <f>VLOOKUP(W182,'[1]POS_EAD_0112 a 3101_CAMP. REG)'!$F$231:$G$461,2,FALSE)</f>
        <v>Humanas</v>
      </c>
      <c r="Z182" s="68">
        <f>VLOOKUP(W182,'[1]POS_EAD_0112 a 3101_CAMP. REG)'!$F$231:$H$461,3,FALSE)</f>
        <v>6</v>
      </c>
      <c r="AA182" s="68">
        <f>VLOOKUP(W182,'[1]POS_EAD_0112 a 3101_CAMP. REG)'!$F$231:$I$461,4,FALSE)</f>
        <v>13</v>
      </c>
      <c r="AB182" s="73">
        <f>VLOOKUP(W182,'[1]POS_EAD_0112 a 3101_CAMP. REG)'!$F$231:$J$461,5,FALSE)</f>
        <v>303.42628200000001</v>
      </c>
      <c r="AC182" s="72">
        <f>VLOOKUP(W182,'[1]POS_EAD_0112 a 3101_CAMP. REG)'!$F$231:$L$461,7,FALSE)</f>
        <v>0.45</v>
      </c>
      <c r="AD182" s="73">
        <f>VLOOKUP(W182,'[1]POS_EAD_0112 a 3101_CAMP. REG)'!$F$231:$M$461,8,FALSE)</f>
        <v>150.19999999999999</v>
      </c>
      <c r="AE182" s="72">
        <f>VLOOKUP(W182,'[1]POS_EAD_0112 a 3101_CAMP. REG)'!$F$231:$P$461,11,FALSE)</f>
        <v>0.5</v>
      </c>
      <c r="AF182" s="73">
        <f>VLOOKUP(W182,'[1]POS_EAD_0112 a 3101_CAMP. REG)'!$F$231:$Q$461,12,FALSE)</f>
        <v>136.54</v>
      </c>
      <c r="AH182" s="121" t="s">
        <v>185</v>
      </c>
      <c r="AI182" s="69" t="s">
        <v>19</v>
      </c>
      <c r="AJ182" s="68" t="str">
        <f>VLOOKUP(UNG[[#This Row],[CURSO]],'[1]POS_EAD_0112 a 3101_CAMP. REG)'!$F$463:$G$688,2,FALSE)</f>
        <v>Humanas</v>
      </c>
      <c r="AK182" s="68">
        <f>VLOOKUP(UNG[[#This Row],[CURSO]],'[1]POS_EAD_0112 a 3101_CAMP. REG)'!$F$463:$H$688,3,FALSE)</f>
        <v>6</v>
      </c>
      <c r="AL182" s="68">
        <f>VLOOKUP(UNG[[#This Row],[CURSO]],'[1]POS_EAD_0112 a 3101_CAMP. REG)'!$F$463:$I$688,4,FALSE)</f>
        <v>13</v>
      </c>
      <c r="AM182" s="71">
        <f>VLOOKUP(UNG[[#This Row],[CURSO]],'[1]POS_EAD_0112 a 3101_CAMP. REG)'!$F$463:$J$688,5,FALSE)</f>
        <v>269.33202599999998</v>
      </c>
      <c r="AN182" s="124">
        <f>VLOOKUP(UNG[[#This Row],[CURSO]],'[1]POS_EAD_0112 a 3101_CAMP. REG)'!$F$463:$L$688,7,FALSE)</f>
        <v>0.45</v>
      </c>
      <c r="AO182" s="71">
        <f>VLOOKUP(UNG[[#This Row],[CURSO]],'[1]POS_EAD_0112 a 3101_CAMP. REG)'!$F$463:$M$688,8,FALSE)</f>
        <v>133.32</v>
      </c>
      <c r="AP182" s="124">
        <f>VLOOKUP(UNG[[#This Row],[CURSO]],'[1]POS_EAD_0112 a 3101_CAMP. REG)'!$F$463:$P$688,11,FALSE)</f>
        <v>0.5</v>
      </c>
      <c r="AQ182" s="71">
        <f>VLOOKUP(UNG[[#This Row],[CURSO]],'[1]POS_EAD_0112 a 3101_CAMP. REG)'!$F$463:$Q$688,12,FALSE)</f>
        <v>121.2</v>
      </c>
      <c r="AS182" s="121" t="s">
        <v>185</v>
      </c>
      <c r="AT182" s="69" t="s">
        <v>19</v>
      </c>
      <c r="AU182" s="69" t="str">
        <f>VLOOKUP(UNINASSAU[[#This Row],[CURSO]],'[1]POS_EAD_0112 a 3101_CAMP. REG)'!$F$690:$G$915,2,FALSE)</f>
        <v>Humanas</v>
      </c>
      <c r="AV182" s="69">
        <f>VLOOKUP(UNINASSAU[[#This Row],[CURSO]],'[1]POS_EAD_0112 a 3101_CAMP. REG)'!$F$690:$H$915,3,FALSE)</f>
        <v>6</v>
      </c>
      <c r="AW182" s="69">
        <f>VLOOKUP(UNINASSAU[[#This Row],[CURSO]],'[1]POS_EAD_0112 a 3101_CAMP. REG)'!$F$690:$I$915,4,FALSE)</f>
        <v>13</v>
      </c>
      <c r="AX182" s="73">
        <f>VLOOKUP(UNINASSAU[[#This Row],[CURSO]],'[1]POS_EAD_0112 a 3101_CAMP. REG)'!$F$690:$J$915,5,FALSE)</f>
        <v>269.33202599999998</v>
      </c>
      <c r="AY182" s="72">
        <f>VLOOKUP(UNINASSAU[[#This Row],[CURSO]],'[1]POS_EAD_0112 a 3101_CAMP. REG)'!$F$690:$L$915,7,FALSE)</f>
        <v>0.45</v>
      </c>
      <c r="AZ182" s="73">
        <f>VLOOKUP(UNINASSAU[[#This Row],[CURSO]],'[1]POS_EAD_0112 a 3101_CAMP. REG)'!$F$690:$N$915,8,FALSE)</f>
        <v>133.32</v>
      </c>
      <c r="BA182" s="72">
        <f>VLOOKUP(UNINASSAU[[#This Row],[CURSO]],'[1]POS_EAD_0112 a 3101_CAMP. REG)'!$F$690:$P$915,11,FALSE)</f>
        <v>0.5</v>
      </c>
      <c r="BB182" s="73">
        <f>VLOOKUP(UNINASSAU[[#This Row],[CURSO]],'[1]POS_EAD_0112 a 3101_CAMP. REG)'!$F$690:$Q$915,12,FALSE)</f>
        <v>121.2</v>
      </c>
      <c r="BD182" s="104">
        <v>179</v>
      </c>
      <c r="BE182" s="121" t="s">
        <v>185</v>
      </c>
      <c r="BF182" s="69" t="s">
        <v>19</v>
      </c>
    </row>
    <row r="183" spans="12:58" x14ac:dyDescent="0.25">
      <c r="L183" s="121" t="s">
        <v>164</v>
      </c>
      <c r="M183" s="69" t="s">
        <v>19</v>
      </c>
      <c r="N183" s="69" t="str">
        <f>VLOOKUP($L$4,'[1]POS_EAD_0112 a 3101_CAMP. REG)'!$F$5:$G$231,2,FALSE)</f>
        <v>Humanas</v>
      </c>
      <c r="O183" s="69">
        <f>VLOOKUP(L183,'[1]POS_EAD_0112 a 3101_CAMP. REG)'!$F$5:$H$231,3,FALSE)</f>
        <v>6</v>
      </c>
      <c r="P183" s="68">
        <f>VLOOKUP(L183,'[1]POS_EAD_0112 a 3101_CAMP. REG)'!$F$5:$I$231,4,FALSE)</f>
        <v>13</v>
      </c>
      <c r="Q183" s="73">
        <f>VLOOKUP(L183,'[1]POS_EAD_0112 a 3101_CAMP. REG)'!$F$5:$J$231,5,FALSE)</f>
        <v>269.33202599999998</v>
      </c>
      <c r="R183" s="124">
        <f>VLOOKUP(L183,'[1]POS_EAD_0112 a 3101_CAMP. REG)'!$F$5:$L$231,7,FALSE)</f>
        <v>0.45</v>
      </c>
      <c r="S183" s="73">
        <f>VLOOKUP(L183,'[1]POS_EAD_0112 a 3101_CAMP. REG)'!$F$5:$M$231,8,FALSE)</f>
        <v>133.32</v>
      </c>
      <c r="T183" s="124">
        <f>VLOOKUP(L183,'[1]POS_EAD_0112 a 3101_CAMP. REG)'!$F$5:$P$231,11,FALSE)</f>
        <v>0.5</v>
      </c>
      <c r="U183" s="73">
        <f>VLOOKUP(L183,'[1]POS_EAD_0112 a 3101_CAMP. REG)'!$F$5:$Q$231,12,FALSE)</f>
        <v>121.2</v>
      </c>
      <c r="W183" s="121" t="s">
        <v>164</v>
      </c>
      <c r="X183" s="69" t="s">
        <v>19</v>
      </c>
      <c r="Y183" s="69" t="str">
        <f>VLOOKUP(W183,'[1]POS_EAD_0112 a 3101_CAMP. REG)'!$F$231:$G$461,2,FALSE)</f>
        <v>Humanas</v>
      </c>
      <c r="Z183" s="68">
        <f>VLOOKUP(W183,'[1]POS_EAD_0112 a 3101_CAMP. REG)'!$F$231:$H$461,3,FALSE)</f>
        <v>6</v>
      </c>
      <c r="AA183" s="68">
        <f>VLOOKUP(W183,'[1]POS_EAD_0112 a 3101_CAMP. REG)'!$F$231:$I$461,4,FALSE)</f>
        <v>13</v>
      </c>
      <c r="AB183" s="73">
        <f>VLOOKUP(W183,'[1]POS_EAD_0112 a 3101_CAMP. REG)'!$F$231:$J$461,5,FALSE)</f>
        <v>303.42628200000001</v>
      </c>
      <c r="AC183" s="72">
        <f>VLOOKUP(W183,'[1]POS_EAD_0112 a 3101_CAMP. REG)'!$F$231:$L$461,7,FALSE)</f>
        <v>0.45</v>
      </c>
      <c r="AD183" s="73">
        <f>VLOOKUP(W183,'[1]POS_EAD_0112 a 3101_CAMP. REG)'!$F$231:$M$461,8,FALSE)</f>
        <v>150.19999999999999</v>
      </c>
      <c r="AE183" s="72">
        <f>VLOOKUP(W183,'[1]POS_EAD_0112 a 3101_CAMP. REG)'!$F$231:$P$461,11,FALSE)</f>
        <v>0.5</v>
      </c>
      <c r="AF183" s="73">
        <f>VLOOKUP(W183,'[1]POS_EAD_0112 a 3101_CAMP. REG)'!$F$231:$Q$461,12,FALSE)</f>
        <v>136.54</v>
      </c>
      <c r="AH183" s="121" t="s">
        <v>164</v>
      </c>
      <c r="AI183" s="69" t="s">
        <v>19</v>
      </c>
      <c r="AJ183" s="68" t="str">
        <f>VLOOKUP(UNG[[#This Row],[CURSO]],'[1]POS_EAD_0112 a 3101_CAMP. REG)'!$F$463:$G$688,2,FALSE)</f>
        <v>Humanas</v>
      </c>
      <c r="AK183" s="68">
        <f>VLOOKUP(UNG[[#This Row],[CURSO]],'[1]POS_EAD_0112 a 3101_CAMP. REG)'!$F$463:$H$688,3,FALSE)</f>
        <v>6</v>
      </c>
      <c r="AL183" s="68">
        <f>VLOOKUP(UNG[[#This Row],[CURSO]],'[1]POS_EAD_0112 a 3101_CAMP. REG)'!$F$463:$I$688,4,FALSE)</f>
        <v>13</v>
      </c>
      <c r="AM183" s="71">
        <f>VLOOKUP(UNG[[#This Row],[CURSO]],'[1]POS_EAD_0112 a 3101_CAMP. REG)'!$F$463:$J$688,5,FALSE)</f>
        <v>269.33202599999998</v>
      </c>
      <c r="AN183" s="124">
        <f>VLOOKUP(UNG[[#This Row],[CURSO]],'[1]POS_EAD_0112 a 3101_CAMP. REG)'!$F$463:$L$688,7,FALSE)</f>
        <v>0.45</v>
      </c>
      <c r="AO183" s="71">
        <f>VLOOKUP(UNG[[#This Row],[CURSO]],'[1]POS_EAD_0112 a 3101_CAMP. REG)'!$F$463:$M$688,8,FALSE)</f>
        <v>133.32</v>
      </c>
      <c r="AP183" s="124">
        <f>VLOOKUP(UNG[[#This Row],[CURSO]],'[1]POS_EAD_0112 a 3101_CAMP. REG)'!$F$463:$P$688,11,FALSE)</f>
        <v>0.5</v>
      </c>
      <c r="AQ183" s="71">
        <f>VLOOKUP(UNG[[#This Row],[CURSO]],'[1]POS_EAD_0112 a 3101_CAMP. REG)'!$F$463:$Q$688,12,FALSE)</f>
        <v>121.2</v>
      </c>
      <c r="AS183" s="121" t="s">
        <v>164</v>
      </c>
      <c r="AT183" s="69" t="s">
        <v>19</v>
      </c>
      <c r="AU183" s="69" t="str">
        <f>VLOOKUP(UNINASSAU[[#This Row],[CURSO]],'[1]POS_EAD_0112 a 3101_CAMP. REG)'!$F$690:$G$915,2,FALSE)</f>
        <v>Humanas</v>
      </c>
      <c r="AV183" s="69">
        <f>VLOOKUP(UNINASSAU[[#This Row],[CURSO]],'[1]POS_EAD_0112 a 3101_CAMP. REG)'!$F$690:$H$915,3,FALSE)</f>
        <v>6</v>
      </c>
      <c r="AW183" s="69">
        <f>VLOOKUP(UNINASSAU[[#This Row],[CURSO]],'[1]POS_EAD_0112 a 3101_CAMP. REG)'!$F$690:$I$915,4,FALSE)</f>
        <v>13</v>
      </c>
      <c r="AX183" s="73">
        <f>VLOOKUP(UNINASSAU[[#This Row],[CURSO]],'[1]POS_EAD_0112 a 3101_CAMP. REG)'!$F$690:$J$915,5,FALSE)</f>
        <v>269.33202599999998</v>
      </c>
      <c r="AY183" s="72">
        <f>VLOOKUP(UNINASSAU[[#This Row],[CURSO]],'[1]POS_EAD_0112 a 3101_CAMP. REG)'!$F$690:$L$915,7,FALSE)</f>
        <v>0.45</v>
      </c>
      <c r="AZ183" s="73">
        <f>VLOOKUP(UNINASSAU[[#This Row],[CURSO]],'[1]POS_EAD_0112 a 3101_CAMP. REG)'!$F$690:$N$915,8,FALSE)</f>
        <v>133.32</v>
      </c>
      <c r="BA183" s="72">
        <f>VLOOKUP(UNINASSAU[[#This Row],[CURSO]],'[1]POS_EAD_0112 a 3101_CAMP. REG)'!$F$690:$P$915,11,FALSE)</f>
        <v>0.5</v>
      </c>
      <c r="BB183" s="73">
        <f>VLOOKUP(UNINASSAU[[#This Row],[CURSO]],'[1]POS_EAD_0112 a 3101_CAMP. REG)'!$F$690:$Q$915,12,FALSE)</f>
        <v>121.2</v>
      </c>
      <c r="BD183" s="104">
        <v>180</v>
      </c>
      <c r="BE183" s="121" t="s">
        <v>164</v>
      </c>
      <c r="BF183" s="69" t="s">
        <v>19</v>
      </c>
    </row>
    <row r="184" spans="12:58" x14ac:dyDescent="0.25">
      <c r="L184" s="121" t="s">
        <v>217</v>
      </c>
      <c r="M184" s="69" t="s">
        <v>19</v>
      </c>
      <c r="N184" s="69" t="str">
        <f>VLOOKUP($L$4,'[1]POS_EAD_0112 a 3101_CAMP. REG)'!$F$5:$G$231,2,FALSE)</f>
        <v>Humanas</v>
      </c>
      <c r="O184" s="69">
        <f>VLOOKUP(L184,'[1]POS_EAD_0112 a 3101_CAMP. REG)'!$F$5:$H$231,3,FALSE)</f>
        <v>6</v>
      </c>
      <c r="P184" s="68">
        <f>VLOOKUP(L184,'[1]POS_EAD_0112 a 3101_CAMP. REG)'!$F$5:$I$231,4,FALSE)</f>
        <v>13</v>
      </c>
      <c r="Q184" s="73">
        <f>VLOOKUP(L184,'[1]POS_EAD_0112 a 3101_CAMP. REG)'!$F$5:$J$231,5,FALSE)</f>
        <v>269.33202599999998</v>
      </c>
      <c r="R184" s="124">
        <f>VLOOKUP(L184,'[1]POS_EAD_0112 a 3101_CAMP. REG)'!$F$5:$L$231,7,FALSE)</f>
        <v>0.45</v>
      </c>
      <c r="S184" s="73">
        <f>VLOOKUP(L184,'[1]POS_EAD_0112 a 3101_CAMP. REG)'!$F$5:$M$231,8,FALSE)</f>
        <v>133.32</v>
      </c>
      <c r="T184" s="124">
        <f>VLOOKUP(L184,'[1]POS_EAD_0112 a 3101_CAMP. REG)'!$F$5:$P$231,11,FALSE)</f>
        <v>0.5</v>
      </c>
      <c r="U184" s="73">
        <f>VLOOKUP(L184,'[1]POS_EAD_0112 a 3101_CAMP. REG)'!$F$5:$Q$231,12,FALSE)</f>
        <v>121.2</v>
      </c>
      <c r="W184" s="121" t="s">
        <v>217</v>
      </c>
      <c r="X184" s="69" t="s">
        <v>19</v>
      </c>
      <c r="Y184" s="69" t="str">
        <f>VLOOKUP(W184,'[1]POS_EAD_0112 a 3101_CAMP. REG)'!$F$231:$G$461,2,FALSE)</f>
        <v>Humanas</v>
      </c>
      <c r="Z184" s="68">
        <f>VLOOKUP(W184,'[1]POS_EAD_0112 a 3101_CAMP. REG)'!$F$231:$H$461,3,FALSE)</f>
        <v>6</v>
      </c>
      <c r="AA184" s="68">
        <f>VLOOKUP(W184,'[1]POS_EAD_0112 a 3101_CAMP. REG)'!$F$231:$I$461,4,FALSE)</f>
        <v>13</v>
      </c>
      <c r="AB184" s="73">
        <f>VLOOKUP(W184,'[1]POS_EAD_0112 a 3101_CAMP. REG)'!$F$231:$J$461,5,FALSE)</f>
        <v>303.42628200000001</v>
      </c>
      <c r="AC184" s="72">
        <f>VLOOKUP(W184,'[1]POS_EAD_0112 a 3101_CAMP. REG)'!$F$231:$L$461,7,FALSE)</f>
        <v>0.45</v>
      </c>
      <c r="AD184" s="73">
        <f>VLOOKUP(W184,'[1]POS_EAD_0112 a 3101_CAMP. REG)'!$F$231:$M$461,8,FALSE)</f>
        <v>150.19999999999999</v>
      </c>
      <c r="AE184" s="72">
        <f>VLOOKUP(W184,'[1]POS_EAD_0112 a 3101_CAMP. REG)'!$F$231:$P$461,11,FALSE)</f>
        <v>0.5</v>
      </c>
      <c r="AF184" s="73">
        <f>VLOOKUP(W184,'[1]POS_EAD_0112 a 3101_CAMP. REG)'!$F$231:$Q$461,12,FALSE)</f>
        <v>136.54</v>
      </c>
      <c r="AH184" s="121" t="s">
        <v>217</v>
      </c>
      <c r="AI184" s="69" t="s">
        <v>19</v>
      </c>
      <c r="AJ184" s="68" t="str">
        <f>VLOOKUP(UNG[[#This Row],[CURSO]],'[1]POS_EAD_0112 a 3101_CAMP. REG)'!$F$463:$G$688,2,FALSE)</f>
        <v>Humanas</v>
      </c>
      <c r="AK184" s="68">
        <f>VLOOKUP(UNG[[#This Row],[CURSO]],'[1]POS_EAD_0112 a 3101_CAMP. REG)'!$F$463:$H$688,3,FALSE)</f>
        <v>6</v>
      </c>
      <c r="AL184" s="68">
        <f>VLOOKUP(UNG[[#This Row],[CURSO]],'[1]POS_EAD_0112 a 3101_CAMP. REG)'!$F$463:$I$688,4,FALSE)</f>
        <v>13</v>
      </c>
      <c r="AM184" s="71">
        <f>VLOOKUP(UNG[[#This Row],[CURSO]],'[1]POS_EAD_0112 a 3101_CAMP. REG)'!$F$463:$J$688,5,FALSE)</f>
        <v>269.33202599999998</v>
      </c>
      <c r="AN184" s="124">
        <f>VLOOKUP(UNG[[#This Row],[CURSO]],'[1]POS_EAD_0112 a 3101_CAMP. REG)'!$F$463:$L$688,7,FALSE)</f>
        <v>0.45</v>
      </c>
      <c r="AO184" s="71">
        <f>VLOOKUP(UNG[[#This Row],[CURSO]],'[1]POS_EAD_0112 a 3101_CAMP. REG)'!$F$463:$M$688,8,FALSE)</f>
        <v>133.32</v>
      </c>
      <c r="AP184" s="124">
        <f>VLOOKUP(UNG[[#This Row],[CURSO]],'[1]POS_EAD_0112 a 3101_CAMP. REG)'!$F$463:$P$688,11,FALSE)</f>
        <v>0.5</v>
      </c>
      <c r="AQ184" s="71">
        <f>VLOOKUP(UNG[[#This Row],[CURSO]],'[1]POS_EAD_0112 a 3101_CAMP. REG)'!$F$463:$Q$688,12,FALSE)</f>
        <v>121.2</v>
      </c>
      <c r="AS184" s="121" t="s">
        <v>217</v>
      </c>
      <c r="AT184" s="69" t="s">
        <v>19</v>
      </c>
      <c r="AU184" s="69" t="str">
        <f>VLOOKUP(UNINASSAU[[#This Row],[CURSO]],'[1]POS_EAD_0112 a 3101_CAMP. REG)'!$F$690:$G$915,2,FALSE)</f>
        <v>Humanas</v>
      </c>
      <c r="AV184" s="69">
        <f>VLOOKUP(UNINASSAU[[#This Row],[CURSO]],'[1]POS_EAD_0112 a 3101_CAMP. REG)'!$F$690:$H$915,3,FALSE)</f>
        <v>6</v>
      </c>
      <c r="AW184" s="69">
        <f>VLOOKUP(UNINASSAU[[#This Row],[CURSO]],'[1]POS_EAD_0112 a 3101_CAMP. REG)'!$F$690:$I$915,4,FALSE)</f>
        <v>13</v>
      </c>
      <c r="AX184" s="73">
        <f>VLOOKUP(UNINASSAU[[#This Row],[CURSO]],'[1]POS_EAD_0112 a 3101_CAMP. REG)'!$F$690:$J$915,5,FALSE)</f>
        <v>269.33202599999998</v>
      </c>
      <c r="AY184" s="72">
        <f>VLOOKUP(UNINASSAU[[#This Row],[CURSO]],'[1]POS_EAD_0112 a 3101_CAMP. REG)'!$F$690:$L$915,7,FALSE)</f>
        <v>0.45</v>
      </c>
      <c r="AZ184" s="73">
        <f>VLOOKUP(UNINASSAU[[#This Row],[CURSO]],'[1]POS_EAD_0112 a 3101_CAMP. REG)'!$F$690:$N$915,8,FALSE)</f>
        <v>133.32</v>
      </c>
      <c r="BA184" s="72">
        <f>VLOOKUP(UNINASSAU[[#This Row],[CURSO]],'[1]POS_EAD_0112 a 3101_CAMP. REG)'!$F$690:$P$915,11,FALSE)</f>
        <v>0.5</v>
      </c>
      <c r="BB184" s="73">
        <f>VLOOKUP(UNINASSAU[[#This Row],[CURSO]],'[1]POS_EAD_0112 a 3101_CAMP. REG)'!$F$690:$Q$915,12,FALSE)</f>
        <v>121.2</v>
      </c>
      <c r="BD184" s="104">
        <v>181</v>
      </c>
      <c r="BE184" s="121" t="s">
        <v>217</v>
      </c>
      <c r="BF184" s="69" t="s">
        <v>19</v>
      </c>
    </row>
    <row r="185" spans="12:58" x14ac:dyDescent="0.25">
      <c r="L185" s="121" t="s">
        <v>248</v>
      </c>
      <c r="M185" s="69" t="s">
        <v>19</v>
      </c>
      <c r="N185" s="69" t="str">
        <f>VLOOKUP($L$4,'[1]POS_EAD_0112 a 3101_CAMP. REG)'!$F$5:$G$231,2,FALSE)</f>
        <v>Humanas</v>
      </c>
      <c r="O185" s="69">
        <f>VLOOKUP(L185,'[1]POS_EAD_0112 a 3101_CAMP. REG)'!$F$5:$H$231,3,FALSE)</f>
        <v>6</v>
      </c>
      <c r="P185" s="68">
        <f>VLOOKUP(L185,'[1]POS_EAD_0112 a 3101_CAMP. REG)'!$F$5:$I$231,4,FALSE)</f>
        <v>13</v>
      </c>
      <c r="Q185" s="73">
        <f>VLOOKUP(L185,'[1]POS_EAD_0112 a 3101_CAMP. REG)'!$F$5:$J$231,5,FALSE)</f>
        <v>269.33202599999998</v>
      </c>
      <c r="R185" s="124">
        <f>VLOOKUP(L185,'[1]POS_EAD_0112 a 3101_CAMP. REG)'!$F$5:$L$231,7,FALSE)</f>
        <v>0.45</v>
      </c>
      <c r="S185" s="73">
        <f>VLOOKUP(L185,'[1]POS_EAD_0112 a 3101_CAMP. REG)'!$F$5:$M$231,8,FALSE)</f>
        <v>133.32</v>
      </c>
      <c r="T185" s="124">
        <f>VLOOKUP(L185,'[1]POS_EAD_0112 a 3101_CAMP. REG)'!$F$5:$P$231,11,FALSE)</f>
        <v>0.5</v>
      </c>
      <c r="U185" s="73">
        <f>VLOOKUP(L185,'[1]POS_EAD_0112 a 3101_CAMP. REG)'!$F$5:$Q$231,12,FALSE)</f>
        <v>121.2</v>
      </c>
      <c r="W185" s="121" t="s">
        <v>248</v>
      </c>
      <c r="X185" s="69" t="s">
        <v>19</v>
      </c>
      <c r="Y185" s="69" t="str">
        <f>VLOOKUP(W185,'[1]POS_EAD_0112 a 3101_CAMP. REG)'!$F$231:$G$461,2,FALSE)</f>
        <v>Humanas</v>
      </c>
      <c r="Z185" s="68">
        <f>VLOOKUP(W185,'[1]POS_EAD_0112 a 3101_CAMP. REG)'!$F$231:$H$461,3,FALSE)</f>
        <v>6</v>
      </c>
      <c r="AA185" s="68">
        <f>VLOOKUP(W185,'[1]POS_EAD_0112 a 3101_CAMP. REG)'!$F$231:$I$461,4,FALSE)</f>
        <v>13</v>
      </c>
      <c r="AB185" s="73">
        <f>VLOOKUP(W185,'[1]POS_EAD_0112 a 3101_CAMP. REG)'!$F$231:$J$461,5,FALSE)</f>
        <v>303.42628200000001</v>
      </c>
      <c r="AC185" s="72">
        <f>VLOOKUP(W185,'[1]POS_EAD_0112 a 3101_CAMP. REG)'!$F$231:$L$461,7,FALSE)</f>
        <v>0.45</v>
      </c>
      <c r="AD185" s="73">
        <f>VLOOKUP(W185,'[1]POS_EAD_0112 a 3101_CAMP. REG)'!$F$231:$M$461,8,FALSE)</f>
        <v>150.19999999999999</v>
      </c>
      <c r="AE185" s="72">
        <f>VLOOKUP(W185,'[1]POS_EAD_0112 a 3101_CAMP. REG)'!$F$231:$P$461,11,FALSE)</f>
        <v>0.5</v>
      </c>
      <c r="AF185" s="73">
        <f>VLOOKUP(W185,'[1]POS_EAD_0112 a 3101_CAMP. REG)'!$F$231:$Q$461,12,FALSE)</f>
        <v>136.54</v>
      </c>
      <c r="AH185" s="121" t="s">
        <v>248</v>
      </c>
      <c r="AI185" s="69" t="s">
        <v>19</v>
      </c>
      <c r="AJ185" s="68" t="str">
        <f>VLOOKUP(UNG[[#This Row],[CURSO]],'[1]POS_EAD_0112 a 3101_CAMP. REG)'!$F$463:$G$688,2,FALSE)</f>
        <v>Humanas</v>
      </c>
      <c r="AK185" s="68">
        <f>VLOOKUP(UNG[[#This Row],[CURSO]],'[1]POS_EAD_0112 a 3101_CAMP. REG)'!$F$463:$H$688,3,FALSE)</f>
        <v>6</v>
      </c>
      <c r="AL185" s="68">
        <f>VLOOKUP(UNG[[#This Row],[CURSO]],'[1]POS_EAD_0112 a 3101_CAMP. REG)'!$F$463:$I$688,4,FALSE)</f>
        <v>13</v>
      </c>
      <c r="AM185" s="71">
        <f>VLOOKUP(UNG[[#This Row],[CURSO]],'[1]POS_EAD_0112 a 3101_CAMP. REG)'!$F$463:$J$688,5,FALSE)</f>
        <v>269.33202599999998</v>
      </c>
      <c r="AN185" s="124">
        <f>VLOOKUP(UNG[[#This Row],[CURSO]],'[1]POS_EAD_0112 a 3101_CAMP. REG)'!$F$463:$L$688,7,FALSE)</f>
        <v>0.45</v>
      </c>
      <c r="AO185" s="71">
        <f>VLOOKUP(UNG[[#This Row],[CURSO]],'[1]POS_EAD_0112 a 3101_CAMP. REG)'!$F$463:$M$688,8,FALSE)</f>
        <v>133.32</v>
      </c>
      <c r="AP185" s="124">
        <f>VLOOKUP(UNG[[#This Row],[CURSO]],'[1]POS_EAD_0112 a 3101_CAMP. REG)'!$F$463:$P$688,11,FALSE)</f>
        <v>0.5</v>
      </c>
      <c r="AQ185" s="71">
        <f>VLOOKUP(UNG[[#This Row],[CURSO]],'[1]POS_EAD_0112 a 3101_CAMP. REG)'!$F$463:$Q$688,12,FALSE)</f>
        <v>121.2</v>
      </c>
      <c r="AS185" s="121" t="s">
        <v>248</v>
      </c>
      <c r="AT185" s="69" t="s">
        <v>19</v>
      </c>
      <c r="AU185" s="69" t="str">
        <f>VLOOKUP(UNINASSAU[[#This Row],[CURSO]],'[1]POS_EAD_0112 a 3101_CAMP. REG)'!$F$690:$G$915,2,FALSE)</f>
        <v>Humanas</v>
      </c>
      <c r="AV185" s="69">
        <f>VLOOKUP(UNINASSAU[[#This Row],[CURSO]],'[1]POS_EAD_0112 a 3101_CAMP. REG)'!$F$690:$H$915,3,FALSE)</f>
        <v>6</v>
      </c>
      <c r="AW185" s="69">
        <f>VLOOKUP(UNINASSAU[[#This Row],[CURSO]],'[1]POS_EAD_0112 a 3101_CAMP. REG)'!$F$690:$I$915,4,FALSE)</f>
        <v>13</v>
      </c>
      <c r="AX185" s="73">
        <f>VLOOKUP(UNINASSAU[[#This Row],[CURSO]],'[1]POS_EAD_0112 a 3101_CAMP. REG)'!$F$690:$J$915,5,FALSE)</f>
        <v>269.33202599999998</v>
      </c>
      <c r="AY185" s="72">
        <f>VLOOKUP(UNINASSAU[[#This Row],[CURSO]],'[1]POS_EAD_0112 a 3101_CAMP. REG)'!$F$690:$L$915,7,FALSE)</f>
        <v>0.45</v>
      </c>
      <c r="AZ185" s="73">
        <f>VLOOKUP(UNINASSAU[[#This Row],[CURSO]],'[1]POS_EAD_0112 a 3101_CAMP. REG)'!$F$690:$N$915,8,FALSE)</f>
        <v>133.32</v>
      </c>
      <c r="BA185" s="72">
        <f>VLOOKUP(UNINASSAU[[#This Row],[CURSO]],'[1]POS_EAD_0112 a 3101_CAMP. REG)'!$F$690:$P$915,11,FALSE)</f>
        <v>0.5</v>
      </c>
      <c r="BB185" s="73">
        <f>VLOOKUP(UNINASSAU[[#This Row],[CURSO]],'[1]POS_EAD_0112 a 3101_CAMP. REG)'!$F$690:$Q$915,12,FALSE)</f>
        <v>121.2</v>
      </c>
      <c r="BD185" s="104">
        <v>182</v>
      </c>
      <c r="BE185" s="121" t="s">
        <v>248</v>
      </c>
      <c r="BF185" s="69" t="s">
        <v>19</v>
      </c>
    </row>
    <row r="186" spans="12:58" x14ac:dyDescent="0.25">
      <c r="L186" s="121" t="s">
        <v>249</v>
      </c>
      <c r="M186" s="69" t="s">
        <v>19</v>
      </c>
      <c r="N186" s="69" t="str">
        <f>VLOOKUP($L$4,'[1]POS_EAD_0112 a 3101_CAMP. REG)'!$F$5:$G$231,2,FALSE)</f>
        <v>Humanas</v>
      </c>
      <c r="O186" s="69">
        <f>VLOOKUP(L186,'[1]POS_EAD_0112 a 3101_CAMP. REG)'!$F$5:$H$231,3,FALSE)</f>
        <v>6</v>
      </c>
      <c r="P186" s="68">
        <f>VLOOKUP(L186,'[1]POS_EAD_0112 a 3101_CAMP. REG)'!$F$5:$I$231,4,FALSE)</f>
        <v>13</v>
      </c>
      <c r="Q186" s="73">
        <f>VLOOKUP(L186,'[1]POS_EAD_0112 a 3101_CAMP. REG)'!$F$5:$J$231,5,FALSE)</f>
        <v>269.33202599999998</v>
      </c>
      <c r="R186" s="124">
        <f>VLOOKUP(L186,'[1]POS_EAD_0112 a 3101_CAMP. REG)'!$F$5:$L$231,7,FALSE)</f>
        <v>0.45</v>
      </c>
      <c r="S186" s="73">
        <f>VLOOKUP(L186,'[1]POS_EAD_0112 a 3101_CAMP. REG)'!$F$5:$M$231,8,FALSE)</f>
        <v>133.32</v>
      </c>
      <c r="T186" s="124">
        <f>VLOOKUP(L186,'[1]POS_EAD_0112 a 3101_CAMP. REG)'!$F$5:$P$231,11,FALSE)</f>
        <v>0.5</v>
      </c>
      <c r="U186" s="73">
        <f>VLOOKUP(L186,'[1]POS_EAD_0112 a 3101_CAMP. REG)'!$F$5:$Q$231,12,FALSE)</f>
        <v>121.2</v>
      </c>
      <c r="W186" s="121" t="s">
        <v>249</v>
      </c>
      <c r="X186" s="69" t="s">
        <v>19</v>
      </c>
      <c r="Y186" s="69" t="str">
        <f>VLOOKUP(W186,'[1]POS_EAD_0112 a 3101_CAMP. REG)'!$F$231:$G$461,2,FALSE)</f>
        <v>Humanas</v>
      </c>
      <c r="Z186" s="68">
        <f>VLOOKUP(W186,'[1]POS_EAD_0112 a 3101_CAMP. REG)'!$F$231:$H$461,3,FALSE)</f>
        <v>6</v>
      </c>
      <c r="AA186" s="68">
        <f>VLOOKUP(W186,'[1]POS_EAD_0112 a 3101_CAMP. REG)'!$F$231:$I$461,4,FALSE)</f>
        <v>13</v>
      </c>
      <c r="AB186" s="73">
        <f>VLOOKUP(W186,'[1]POS_EAD_0112 a 3101_CAMP. REG)'!$F$231:$J$461,5,FALSE)</f>
        <v>303.42628200000001</v>
      </c>
      <c r="AC186" s="72">
        <f>VLOOKUP(W186,'[1]POS_EAD_0112 a 3101_CAMP. REG)'!$F$231:$L$461,7,FALSE)</f>
        <v>0.45</v>
      </c>
      <c r="AD186" s="73">
        <f>VLOOKUP(W186,'[1]POS_EAD_0112 a 3101_CAMP. REG)'!$F$231:$M$461,8,FALSE)</f>
        <v>150.19999999999999</v>
      </c>
      <c r="AE186" s="72">
        <f>VLOOKUP(W186,'[1]POS_EAD_0112 a 3101_CAMP. REG)'!$F$231:$P$461,11,FALSE)</f>
        <v>0.5</v>
      </c>
      <c r="AF186" s="73">
        <f>VLOOKUP(W186,'[1]POS_EAD_0112 a 3101_CAMP. REG)'!$F$231:$Q$461,12,FALSE)</f>
        <v>136.54</v>
      </c>
      <c r="AH186" s="121" t="s">
        <v>249</v>
      </c>
      <c r="AI186" s="69" t="s">
        <v>19</v>
      </c>
      <c r="AJ186" s="68" t="str">
        <f>VLOOKUP(UNG[[#This Row],[CURSO]],'[1]POS_EAD_0112 a 3101_CAMP. REG)'!$F$463:$G$688,2,FALSE)</f>
        <v>Humanas</v>
      </c>
      <c r="AK186" s="68">
        <f>VLOOKUP(UNG[[#This Row],[CURSO]],'[1]POS_EAD_0112 a 3101_CAMP. REG)'!$F$463:$H$688,3,FALSE)</f>
        <v>6</v>
      </c>
      <c r="AL186" s="68">
        <f>VLOOKUP(UNG[[#This Row],[CURSO]],'[1]POS_EAD_0112 a 3101_CAMP. REG)'!$F$463:$I$688,4,FALSE)</f>
        <v>13</v>
      </c>
      <c r="AM186" s="71">
        <f>VLOOKUP(UNG[[#This Row],[CURSO]],'[1]POS_EAD_0112 a 3101_CAMP. REG)'!$F$463:$J$688,5,FALSE)</f>
        <v>269.33202599999998</v>
      </c>
      <c r="AN186" s="124">
        <f>VLOOKUP(UNG[[#This Row],[CURSO]],'[1]POS_EAD_0112 a 3101_CAMP. REG)'!$F$463:$L$688,7,FALSE)</f>
        <v>0.45</v>
      </c>
      <c r="AO186" s="71">
        <f>VLOOKUP(UNG[[#This Row],[CURSO]],'[1]POS_EAD_0112 a 3101_CAMP. REG)'!$F$463:$M$688,8,FALSE)</f>
        <v>133.32</v>
      </c>
      <c r="AP186" s="124">
        <f>VLOOKUP(UNG[[#This Row],[CURSO]],'[1]POS_EAD_0112 a 3101_CAMP. REG)'!$F$463:$P$688,11,FALSE)</f>
        <v>0.5</v>
      </c>
      <c r="AQ186" s="71">
        <f>VLOOKUP(UNG[[#This Row],[CURSO]],'[1]POS_EAD_0112 a 3101_CAMP. REG)'!$F$463:$Q$688,12,FALSE)</f>
        <v>121.2</v>
      </c>
      <c r="AS186" s="121" t="s">
        <v>249</v>
      </c>
      <c r="AT186" s="69" t="s">
        <v>19</v>
      </c>
      <c r="AU186" s="69" t="str">
        <f>VLOOKUP(UNINASSAU[[#This Row],[CURSO]],'[1]POS_EAD_0112 a 3101_CAMP. REG)'!$F$690:$G$915,2,FALSE)</f>
        <v>Humanas</v>
      </c>
      <c r="AV186" s="69">
        <f>VLOOKUP(UNINASSAU[[#This Row],[CURSO]],'[1]POS_EAD_0112 a 3101_CAMP. REG)'!$F$690:$H$915,3,FALSE)</f>
        <v>6</v>
      </c>
      <c r="AW186" s="69">
        <f>VLOOKUP(UNINASSAU[[#This Row],[CURSO]],'[1]POS_EAD_0112 a 3101_CAMP. REG)'!$F$690:$I$915,4,FALSE)</f>
        <v>13</v>
      </c>
      <c r="AX186" s="73">
        <f>VLOOKUP(UNINASSAU[[#This Row],[CURSO]],'[1]POS_EAD_0112 a 3101_CAMP. REG)'!$F$690:$J$915,5,FALSE)</f>
        <v>269.33202599999998</v>
      </c>
      <c r="AY186" s="72">
        <f>VLOOKUP(UNINASSAU[[#This Row],[CURSO]],'[1]POS_EAD_0112 a 3101_CAMP. REG)'!$F$690:$L$915,7,FALSE)</f>
        <v>0.45</v>
      </c>
      <c r="AZ186" s="73">
        <f>VLOOKUP(UNINASSAU[[#This Row],[CURSO]],'[1]POS_EAD_0112 a 3101_CAMP. REG)'!$F$690:$N$915,8,FALSE)</f>
        <v>133.32</v>
      </c>
      <c r="BA186" s="72">
        <f>VLOOKUP(UNINASSAU[[#This Row],[CURSO]],'[1]POS_EAD_0112 a 3101_CAMP. REG)'!$F$690:$P$915,11,FALSE)</f>
        <v>0.5</v>
      </c>
      <c r="BB186" s="73">
        <f>VLOOKUP(UNINASSAU[[#This Row],[CURSO]],'[1]POS_EAD_0112 a 3101_CAMP. REG)'!$F$690:$Q$915,12,FALSE)</f>
        <v>121.2</v>
      </c>
      <c r="BD186" s="104">
        <v>183</v>
      </c>
      <c r="BE186" s="121" t="s">
        <v>249</v>
      </c>
      <c r="BF186" s="69" t="s">
        <v>19</v>
      </c>
    </row>
    <row r="187" spans="12:58" x14ac:dyDescent="0.25">
      <c r="L187" s="121" t="s">
        <v>166</v>
      </c>
      <c r="M187" s="69" t="s">
        <v>19</v>
      </c>
      <c r="N187" s="69" t="str">
        <f>VLOOKUP($L$4,'[1]POS_EAD_0112 a 3101_CAMP. REG)'!$F$5:$G$231,2,FALSE)</f>
        <v>Humanas</v>
      </c>
      <c r="O187" s="69">
        <f>VLOOKUP(L187,'[1]POS_EAD_0112 a 3101_CAMP. REG)'!$F$5:$H$231,3,FALSE)</f>
        <v>12</v>
      </c>
      <c r="P187" s="68">
        <f>VLOOKUP(L187,'[1]POS_EAD_0112 a 3101_CAMP. REG)'!$F$5:$I$231,4,FALSE)</f>
        <v>19</v>
      </c>
      <c r="Q187" s="73">
        <f>VLOOKUP(L187,'[1]POS_EAD_0112 a 3101_CAMP. REG)'!$F$5:$J$231,5,FALSE)</f>
        <v>277.58266800000001</v>
      </c>
      <c r="R187" s="124">
        <f>VLOOKUP(L187,'[1]POS_EAD_0112 a 3101_CAMP. REG)'!$F$5:$L$231,7,FALSE)</f>
        <v>0.45</v>
      </c>
      <c r="S187" s="73">
        <f>VLOOKUP(L187,'[1]POS_EAD_0112 a 3101_CAMP. REG)'!$F$5:$M$231,8,FALSE)</f>
        <v>137.4</v>
      </c>
      <c r="T187" s="124">
        <f>VLOOKUP(L187,'[1]POS_EAD_0112 a 3101_CAMP. REG)'!$F$5:$P$231,11,FALSE)</f>
        <v>0.5</v>
      </c>
      <c r="U187" s="73">
        <f>VLOOKUP(L187,'[1]POS_EAD_0112 a 3101_CAMP. REG)'!$F$5:$Q$231,12,FALSE)</f>
        <v>124.91</v>
      </c>
      <c r="W187" s="121" t="s">
        <v>166</v>
      </c>
      <c r="X187" s="69" t="s">
        <v>19</v>
      </c>
      <c r="Y187" s="69" t="str">
        <f>VLOOKUP(W187,'[1]POS_EAD_0112 a 3101_CAMP. REG)'!$F$231:$G$461,2,FALSE)</f>
        <v>Saúde</v>
      </c>
      <c r="Z187" s="68">
        <f>VLOOKUP(W187,'[1]POS_EAD_0112 a 3101_CAMP. REG)'!$F$231:$H$461,3,FALSE)</f>
        <v>12</v>
      </c>
      <c r="AA187" s="68">
        <f>VLOOKUP(W187,'[1]POS_EAD_0112 a 3101_CAMP. REG)'!$F$231:$I$461,4,FALSE)</f>
        <v>19</v>
      </c>
      <c r="AB187" s="73">
        <f>VLOOKUP(W187,'[1]POS_EAD_0112 a 3101_CAMP. REG)'!$F$231:$J$461,5,FALSE)</f>
        <v>300.91749900000002</v>
      </c>
      <c r="AC187" s="72">
        <f>VLOOKUP(W187,'[1]POS_EAD_0112 a 3101_CAMP. REG)'!$F$231:$L$461,7,FALSE)</f>
        <v>0.45</v>
      </c>
      <c r="AD187" s="73">
        <f>VLOOKUP(W187,'[1]POS_EAD_0112 a 3101_CAMP. REG)'!$F$231:$M$461,8,FALSE)</f>
        <v>148.94999999999999</v>
      </c>
      <c r="AE187" s="72">
        <f>VLOOKUP(W187,'[1]POS_EAD_0112 a 3101_CAMP. REG)'!$F$231:$P$461,11,FALSE)</f>
        <v>0.5</v>
      </c>
      <c r="AF187" s="73">
        <f>VLOOKUP(W187,'[1]POS_EAD_0112 a 3101_CAMP. REG)'!$F$231:$Q$461,12,FALSE)</f>
        <v>135.41</v>
      </c>
      <c r="AH187" s="121" t="s">
        <v>166</v>
      </c>
      <c r="AI187" s="69" t="s">
        <v>19</v>
      </c>
      <c r="AJ187" s="68" t="str">
        <f>VLOOKUP(UNG[[#This Row],[CURSO]],'[1]POS_EAD_0112 a 3101_CAMP. REG)'!$F$463:$G$688,2,FALSE)</f>
        <v>Saúde</v>
      </c>
      <c r="AK187" s="68">
        <f>VLOOKUP(UNG[[#This Row],[CURSO]],'[1]POS_EAD_0112 a 3101_CAMP. REG)'!$F$463:$H$688,3,FALSE)</f>
        <v>12</v>
      </c>
      <c r="AL187" s="68">
        <f>VLOOKUP(UNG[[#This Row],[CURSO]],'[1]POS_EAD_0112 a 3101_CAMP. REG)'!$F$463:$I$688,4,FALSE)</f>
        <v>19</v>
      </c>
      <c r="AM187" s="71">
        <f>VLOOKUP(UNG[[#This Row],[CURSO]],'[1]POS_EAD_0112 a 3101_CAMP. REG)'!$F$463:$J$688,5,FALSE)</f>
        <v>277.58266800000001</v>
      </c>
      <c r="AN187" s="124">
        <f>VLOOKUP(UNG[[#This Row],[CURSO]],'[1]POS_EAD_0112 a 3101_CAMP. REG)'!$F$463:$L$688,7,FALSE)</f>
        <v>0.45</v>
      </c>
      <c r="AO187" s="71">
        <f>VLOOKUP(UNG[[#This Row],[CURSO]],'[1]POS_EAD_0112 a 3101_CAMP. REG)'!$F$463:$M$688,8,FALSE)</f>
        <v>137.4</v>
      </c>
      <c r="AP187" s="124">
        <f>VLOOKUP(UNG[[#This Row],[CURSO]],'[1]POS_EAD_0112 a 3101_CAMP. REG)'!$F$463:$P$688,11,FALSE)</f>
        <v>0.5</v>
      </c>
      <c r="AQ187" s="71">
        <f>VLOOKUP(UNG[[#This Row],[CURSO]],'[1]POS_EAD_0112 a 3101_CAMP. REG)'!$F$463:$Q$688,12,FALSE)</f>
        <v>124.91</v>
      </c>
      <c r="AS187" s="121" t="s">
        <v>166</v>
      </c>
      <c r="AT187" s="69" t="s">
        <v>19</v>
      </c>
      <c r="AU187" s="69" t="str">
        <f>VLOOKUP(UNINASSAU[[#This Row],[CURSO]],'[1]POS_EAD_0112 a 3101_CAMP. REG)'!$F$690:$G$915,2,FALSE)</f>
        <v>Saúde</v>
      </c>
      <c r="AV187" s="69">
        <f>VLOOKUP(UNINASSAU[[#This Row],[CURSO]],'[1]POS_EAD_0112 a 3101_CAMP. REG)'!$F$690:$H$915,3,FALSE)</f>
        <v>12</v>
      </c>
      <c r="AW187" s="69">
        <f>VLOOKUP(UNINASSAU[[#This Row],[CURSO]],'[1]POS_EAD_0112 a 3101_CAMP. REG)'!$F$690:$I$915,4,FALSE)</f>
        <v>19</v>
      </c>
      <c r="AX187" s="73">
        <f>VLOOKUP(UNINASSAU[[#This Row],[CURSO]],'[1]POS_EAD_0112 a 3101_CAMP. REG)'!$F$690:$J$915,5,FALSE)</f>
        <v>277.58266800000001</v>
      </c>
      <c r="AY187" s="72">
        <f>VLOOKUP(UNINASSAU[[#This Row],[CURSO]],'[1]POS_EAD_0112 a 3101_CAMP. REG)'!$F$690:$L$915,7,FALSE)</f>
        <v>0.45</v>
      </c>
      <c r="AZ187" s="73">
        <f>VLOOKUP(UNINASSAU[[#This Row],[CURSO]],'[1]POS_EAD_0112 a 3101_CAMP. REG)'!$F$690:$N$915,8,FALSE)</f>
        <v>137.4</v>
      </c>
      <c r="BA187" s="72">
        <f>VLOOKUP(UNINASSAU[[#This Row],[CURSO]],'[1]POS_EAD_0112 a 3101_CAMP. REG)'!$F$690:$P$915,11,FALSE)</f>
        <v>0.5</v>
      </c>
      <c r="BB187" s="73">
        <f>VLOOKUP(UNINASSAU[[#This Row],[CURSO]],'[1]POS_EAD_0112 a 3101_CAMP. REG)'!$F$690:$Q$915,12,FALSE)</f>
        <v>124.91</v>
      </c>
      <c r="BD187" s="104">
        <v>184</v>
      </c>
      <c r="BE187" s="121" t="s">
        <v>166</v>
      </c>
      <c r="BF187" s="69" t="s">
        <v>19</v>
      </c>
    </row>
    <row r="188" spans="12:58" x14ac:dyDescent="0.25">
      <c r="L188" s="121" t="s">
        <v>117</v>
      </c>
      <c r="M188" s="69" t="s">
        <v>19</v>
      </c>
      <c r="N188" s="69" t="str">
        <f>VLOOKUP($L$4,'[1]POS_EAD_0112 a 3101_CAMP. REG)'!$F$5:$G$231,2,FALSE)</f>
        <v>Humanas</v>
      </c>
      <c r="O188" s="69">
        <f>VLOOKUP(L188,'[1]POS_EAD_0112 a 3101_CAMP. REG)'!$F$5:$H$231,3,FALSE)</f>
        <v>12</v>
      </c>
      <c r="P188" s="68">
        <f>VLOOKUP(L188,'[1]POS_EAD_0112 a 3101_CAMP. REG)'!$F$5:$I$231,4,FALSE)</f>
        <v>19</v>
      </c>
      <c r="Q188" s="73">
        <f>VLOOKUP(L188,'[1]POS_EAD_0112 a 3101_CAMP. REG)'!$F$5:$J$231,5,FALSE)</f>
        <v>184.28091221052631</v>
      </c>
      <c r="R188" s="124">
        <f>VLOOKUP(L188,'[1]POS_EAD_0112 a 3101_CAMP. REG)'!$F$5:$L$231,7,FALSE)</f>
        <v>0.45</v>
      </c>
      <c r="S188" s="73">
        <f>VLOOKUP(L188,'[1]POS_EAD_0112 a 3101_CAMP. REG)'!$F$5:$M$231,8,FALSE)</f>
        <v>91.22</v>
      </c>
      <c r="T188" s="124">
        <f>VLOOKUP(L188,'[1]POS_EAD_0112 a 3101_CAMP. REG)'!$F$5:$P$231,11,FALSE)</f>
        <v>0.5</v>
      </c>
      <c r="U188" s="73">
        <f>VLOOKUP(L188,'[1]POS_EAD_0112 a 3101_CAMP. REG)'!$F$5:$Q$231,12,FALSE)</f>
        <v>82.93</v>
      </c>
      <c r="W188" s="121" t="s">
        <v>117</v>
      </c>
      <c r="X188" s="69" t="s">
        <v>19</v>
      </c>
      <c r="Y188" s="69" t="str">
        <f>VLOOKUP(W188,'[1]POS_EAD_0112 a 3101_CAMP. REG)'!$F$231:$G$461,2,FALSE)</f>
        <v>Exatas</v>
      </c>
      <c r="Z188" s="68">
        <f>VLOOKUP(W188,'[1]POS_EAD_0112 a 3101_CAMP. REG)'!$F$231:$H$461,3,FALSE)</f>
        <v>12</v>
      </c>
      <c r="AA188" s="68">
        <f>VLOOKUP(W188,'[1]POS_EAD_0112 a 3101_CAMP. REG)'!$F$231:$I$461,4,FALSE)</f>
        <v>19</v>
      </c>
      <c r="AB188" s="73">
        <f>VLOOKUP(W188,'[1]POS_EAD_0112 a 3101_CAMP. REG)'!$F$231:$J$461,5,FALSE)</f>
        <v>207.609666</v>
      </c>
      <c r="AC188" s="72">
        <f>VLOOKUP(W188,'[1]POS_EAD_0112 a 3101_CAMP. REG)'!$F$231:$L$461,7,FALSE)</f>
        <v>0.45</v>
      </c>
      <c r="AD188" s="73">
        <f>VLOOKUP(W188,'[1]POS_EAD_0112 a 3101_CAMP. REG)'!$F$231:$M$461,8,FALSE)</f>
        <v>102.77</v>
      </c>
      <c r="AE188" s="72">
        <f>VLOOKUP(W188,'[1]POS_EAD_0112 a 3101_CAMP. REG)'!$F$231:$P$461,11,FALSE)</f>
        <v>0.5</v>
      </c>
      <c r="AF188" s="73">
        <f>VLOOKUP(W188,'[1]POS_EAD_0112 a 3101_CAMP. REG)'!$F$231:$Q$461,12,FALSE)</f>
        <v>93.42</v>
      </c>
      <c r="AH188" s="121" t="s">
        <v>117</v>
      </c>
      <c r="AI188" s="69" t="s">
        <v>19</v>
      </c>
      <c r="AJ188" s="68" t="str">
        <f>VLOOKUP(UNG[[#This Row],[CURSO]],'[1]POS_EAD_0112 a 3101_CAMP. REG)'!$F$463:$G$688,2,FALSE)</f>
        <v>Exatas</v>
      </c>
      <c r="AK188" s="68">
        <f>VLOOKUP(UNG[[#This Row],[CURSO]],'[1]POS_EAD_0112 a 3101_CAMP. REG)'!$F$463:$H$688,3,FALSE)</f>
        <v>12</v>
      </c>
      <c r="AL188" s="68">
        <f>VLOOKUP(UNG[[#This Row],[CURSO]],'[1]POS_EAD_0112 a 3101_CAMP. REG)'!$F$463:$I$688,4,FALSE)</f>
        <v>19</v>
      </c>
      <c r="AM188" s="71">
        <f>VLOOKUP(UNG[[#This Row],[CURSO]],'[1]POS_EAD_0112 a 3101_CAMP. REG)'!$F$463:$J$688,5,FALSE)</f>
        <v>184.28091221052631</v>
      </c>
      <c r="AN188" s="124">
        <f>VLOOKUP(UNG[[#This Row],[CURSO]],'[1]POS_EAD_0112 a 3101_CAMP. REG)'!$F$463:$L$688,7,FALSE)</f>
        <v>0.45</v>
      </c>
      <c r="AO188" s="71">
        <f>VLOOKUP(UNG[[#This Row],[CURSO]],'[1]POS_EAD_0112 a 3101_CAMP. REG)'!$F$463:$M$688,8,FALSE)</f>
        <v>91.22</v>
      </c>
      <c r="AP188" s="124">
        <f>VLOOKUP(UNG[[#This Row],[CURSO]],'[1]POS_EAD_0112 a 3101_CAMP. REG)'!$F$463:$P$688,11,FALSE)</f>
        <v>0.5</v>
      </c>
      <c r="AQ188" s="71">
        <f>VLOOKUP(UNG[[#This Row],[CURSO]],'[1]POS_EAD_0112 a 3101_CAMP. REG)'!$F$463:$Q$688,12,FALSE)</f>
        <v>82.93</v>
      </c>
      <c r="AS188" s="121" t="s">
        <v>117</v>
      </c>
      <c r="AT188" s="69" t="s">
        <v>19</v>
      </c>
      <c r="AU188" s="69" t="str">
        <f>VLOOKUP(UNINASSAU[[#This Row],[CURSO]],'[1]POS_EAD_0112 a 3101_CAMP. REG)'!$F$690:$G$915,2,FALSE)</f>
        <v>Exatas</v>
      </c>
      <c r="AV188" s="69">
        <f>VLOOKUP(UNINASSAU[[#This Row],[CURSO]],'[1]POS_EAD_0112 a 3101_CAMP. REG)'!$F$690:$H$915,3,FALSE)</f>
        <v>12</v>
      </c>
      <c r="AW188" s="69">
        <f>VLOOKUP(UNINASSAU[[#This Row],[CURSO]],'[1]POS_EAD_0112 a 3101_CAMP. REG)'!$F$690:$I$915,4,FALSE)</f>
        <v>19</v>
      </c>
      <c r="AX188" s="73">
        <f>VLOOKUP(UNINASSAU[[#This Row],[CURSO]],'[1]POS_EAD_0112 a 3101_CAMP. REG)'!$F$690:$J$915,5,FALSE)</f>
        <v>184.28091221052631</v>
      </c>
      <c r="AY188" s="72">
        <f>VLOOKUP(UNINASSAU[[#This Row],[CURSO]],'[1]POS_EAD_0112 a 3101_CAMP. REG)'!$F$690:$L$915,7,FALSE)</f>
        <v>0.45</v>
      </c>
      <c r="AZ188" s="73">
        <f>VLOOKUP(UNINASSAU[[#This Row],[CURSO]],'[1]POS_EAD_0112 a 3101_CAMP. REG)'!$F$690:$N$915,8,FALSE)</f>
        <v>91.22</v>
      </c>
      <c r="BA188" s="72">
        <f>VLOOKUP(UNINASSAU[[#This Row],[CURSO]],'[1]POS_EAD_0112 a 3101_CAMP. REG)'!$F$690:$P$915,11,FALSE)</f>
        <v>0.5</v>
      </c>
      <c r="BB188" s="73">
        <f>VLOOKUP(UNINASSAU[[#This Row],[CURSO]],'[1]POS_EAD_0112 a 3101_CAMP. REG)'!$F$690:$Q$915,12,FALSE)</f>
        <v>82.93</v>
      </c>
      <c r="BD188" s="104">
        <v>185</v>
      </c>
      <c r="BE188" s="121" t="s">
        <v>117</v>
      </c>
      <c r="BF188" s="69" t="s">
        <v>19</v>
      </c>
    </row>
    <row r="189" spans="12:58" x14ac:dyDescent="0.25">
      <c r="L189" s="121" t="s">
        <v>152</v>
      </c>
      <c r="M189" s="69" t="s">
        <v>19</v>
      </c>
      <c r="N189" s="69" t="str">
        <f>VLOOKUP($L$4,'[1]POS_EAD_0112 a 3101_CAMP. REG)'!$F$5:$G$231,2,FALSE)</f>
        <v>Humanas</v>
      </c>
      <c r="O189" s="69">
        <f>VLOOKUP(L189,'[1]POS_EAD_0112 a 3101_CAMP. REG)'!$F$5:$H$231,3,FALSE)</f>
        <v>12</v>
      </c>
      <c r="P189" s="68">
        <f>VLOOKUP(L189,'[1]POS_EAD_0112 a 3101_CAMP. REG)'!$F$5:$I$231,4,FALSE)</f>
        <v>19</v>
      </c>
      <c r="Q189" s="73">
        <f>VLOOKUP(L189,'[1]POS_EAD_0112 a 3101_CAMP. REG)'!$F$5:$J$231,5,FALSE)</f>
        <v>277.58266800000001</v>
      </c>
      <c r="R189" s="124">
        <f>VLOOKUP(L189,'[1]POS_EAD_0112 a 3101_CAMP. REG)'!$F$5:$L$231,7,FALSE)</f>
        <v>0.45</v>
      </c>
      <c r="S189" s="73">
        <f>VLOOKUP(L189,'[1]POS_EAD_0112 a 3101_CAMP. REG)'!$F$5:$M$231,8,FALSE)</f>
        <v>137.4</v>
      </c>
      <c r="T189" s="124">
        <f>VLOOKUP(L189,'[1]POS_EAD_0112 a 3101_CAMP. REG)'!$F$5:$P$231,11,FALSE)</f>
        <v>0.5</v>
      </c>
      <c r="U189" s="73">
        <f>VLOOKUP(L189,'[1]POS_EAD_0112 a 3101_CAMP. REG)'!$F$5:$Q$231,12,FALSE)</f>
        <v>124.91</v>
      </c>
      <c r="W189" s="121" t="s">
        <v>152</v>
      </c>
      <c r="X189" s="69" t="s">
        <v>19</v>
      </c>
      <c r="Y189" s="69" t="str">
        <f>VLOOKUP(W189,'[1]POS_EAD_0112 a 3101_CAMP. REG)'!$F$231:$G$461,2,FALSE)</f>
        <v>Saúde</v>
      </c>
      <c r="Z189" s="68">
        <f>VLOOKUP(W189,'[1]POS_EAD_0112 a 3101_CAMP. REG)'!$F$231:$H$461,3,FALSE)</f>
        <v>12</v>
      </c>
      <c r="AA189" s="68">
        <f>VLOOKUP(W189,'[1]POS_EAD_0112 a 3101_CAMP. REG)'!$F$231:$I$461,4,FALSE)</f>
        <v>19</v>
      </c>
      <c r="AB189" s="73">
        <f>VLOOKUP(W189,'[1]POS_EAD_0112 a 3101_CAMP. REG)'!$F$231:$J$461,5,FALSE)</f>
        <v>300.91749900000002</v>
      </c>
      <c r="AC189" s="72">
        <f>VLOOKUP(W189,'[1]POS_EAD_0112 a 3101_CAMP. REG)'!$F$231:$L$461,7,FALSE)</f>
        <v>0.45</v>
      </c>
      <c r="AD189" s="73">
        <f>VLOOKUP(W189,'[1]POS_EAD_0112 a 3101_CAMP. REG)'!$F$231:$M$461,8,FALSE)</f>
        <v>148.94999999999999</v>
      </c>
      <c r="AE189" s="72">
        <f>VLOOKUP(W189,'[1]POS_EAD_0112 a 3101_CAMP. REG)'!$F$231:$P$461,11,FALSE)</f>
        <v>0.5</v>
      </c>
      <c r="AF189" s="73">
        <f>VLOOKUP(W189,'[1]POS_EAD_0112 a 3101_CAMP. REG)'!$F$231:$Q$461,12,FALSE)</f>
        <v>135.41</v>
      </c>
      <c r="AH189" s="121" t="s">
        <v>152</v>
      </c>
      <c r="AI189" s="69" t="s">
        <v>19</v>
      </c>
      <c r="AJ189" s="68" t="str">
        <f>VLOOKUP(UNG[[#This Row],[CURSO]],'[1]POS_EAD_0112 a 3101_CAMP. REG)'!$F$463:$G$688,2,FALSE)</f>
        <v>Saúde</v>
      </c>
      <c r="AK189" s="68">
        <f>VLOOKUP(UNG[[#This Row],[CURSO]],'[1]POS_EAD_0112 a 3101_CAMP. REG)'!$F$463:$H$688,3,FALSE)</f>
        <v>12</v>
      </c>
      <c r="AL189" s="68">
        <f>VLOOKUP(UNG[[#This Row],[CURSO]],'[1]POS_EAD_0112 a 3101_CAMP. REG)'!$F$463:$I$688,4,FALSE)</f>
        <v>19</v>
      </c>
      <c r="AM189" s="71">
        <f>VLOOKUP(UNG[[#This Row],[CURSO]],'[1]POS_EAD_0112 a 3101_CAMP. REG)'!$F$463:$J$688,5,FALSE)</f>
        <v>277.58266800000001</v>
      </c>
      <c r="AN189" s="124">
        <f>VLOOKUP(UNG[[#This Row],[CURSO]],'[1]POS_EAD_0112 a 3101_CAMP. REG)'!$F$463:$L$688,7,FALSE)</f>
        <v>0.45</v>
      </c>
      <c r="AO189" s="71">
        <f>VLOOKUP(UNG[[#This Row],[CURSO]],'[1]POS_EAD_0112 a 3101_CAMP. REG)'!$F$463:$M$688,8,FALSE)</f>
        <v>137.4</v>
      </c>
      <c r="AP189" s="124">
        <f>VLOOKUP(UNG[[#This Row],[CURSO]],'[1]POS_EAD_0112 a 3101_CAMP. REG)'!$F$463:$P$688,11,FALSE)</f>
        <v>0.5</v>
      </c>
      <c r="AQ189" s="71">
        <f>VLOOKUP(UNG[[#This Row],[CURSO]],'[1]POS_EAD_0112 a 3101_CAMP. REG)'!$F$463:$Q$688,12,FALSE)</f>
        <v>124.91</v>
      </c>
      <c r="AS189" s="121" t="s">
        <v>152</v>
      </c>
      <c r="AT189" s="69" t="s">
        <v>19</v>
      </c>
      <c r="AU189" s="69" t="str">
        <f>VLOOKUP(UNINASSAU[[#This Row],[CURSO]],'[1]POS_EAD_0112 a 3101_CAMP. REG)'!$F$690:$G$915,2,FALSE)</f>
        <v>Saúde</v>
      </c>
      <c r="AV189" s="69">
        <f>VLOOKUP(UNINASSAU[[#This Row],[CURSO]],'[1]POS_EAD_0112 a 3101_CAMP. REG)'!$F$690:$H$915,3,FALSE)</f>
        <v>12</v>
      </c>
      <c r="AW189" s="69">
        <f>VLOOKUP(UNINASSAU[[#This Row],[CURSO]],'[1]POS_EAD_0112 a 3101_CAMP. REG)'!$F$690:$I$915,4,FALSE)</f>
        <v>19</v>
      </c>
      <c r="AX189" s="73">
        <f>VLOOKUP(UNINASSAU[[#This Row],[CURSO]],'[1]POS_EAD_0112 a 3101_CAMP. REG)'!$F$690:$J$915,5,FALSE)</f>
        <v>277.58266800000001</v>
      </c>
      <c r="AY189" s="72">
        <f>VLOOKUP(UNINASSAU[[#This Row],[CURSO]],'[1]POS_EAD_0112 a 3101_CAMP. REG)'!$F$690:$L$915,7,FALSE)</f>
        <v>0.45</v>
      </c>
      <c r="AZ189" s="73">
        <f>VLOOKUP(UNINASSAU[[#This Row],[CURSO]],'[1]POS_EAD_0112 a 3101_CAMP. REG)'!$F$690:$N$915,8,FALSE)</f>
        <v>137.4</v>
      </c>
      <c r="BA189" s="72">
        <f>VLOOKUP(UNINASSAU[[#This Row],[CURSO]],'[1]POS_EAD_0112 a 3101_CAMP. REG)'!$F$690:$P$915,11,FALSE)</f>
        <v>0.5</v>
      </c>
      <c r="BB189" s="73">
        <f>VLOOKUP(UNINASSAU[[#This Row],[CURSO]],'[1]POS_EAD_0112 a 3101_CAMP. REG)'!$F$690:$Q$915,12,FALSE)</f>
        <v>124.91</v>
      </c>
      <c r="BD189" s="104">
        <v>186</v>
      </c>
      <c r="BE189" s="121" t="s">
        <v>152</v>
      </c>
      <c r="BF189" s="69" t="s">
        <v>19</v>
      </c>
    </row>
    <row r="190" spans="12:58" x14ac:dyDescent="0.25">
      <c r="L190" s="121" t="s">
        <v>204</v>
      </c>
      <c r="M190" s="69" t="s">
        <v>19</v>
      </c>
      <c r="N190" s="69" t="str">
        <f>VLOOKUP($L$4,'[1]POS_EAD_0112 a 3101_CAMP. REG)'!$F$5:$G$231,2,FALSE)</f>
        <v>Humanas</v>
      </c>
      <c r="O190" s="69">
        <f>VLOOKUP(L190,'[1]POS_EAD_0112 a 3101_CAMP. REG)'!$F$5:$H$231,3,FALSE)</f>
        <v>12</v>
      </c>
      <c r="P190" s="68">
        <f>VLOOKUP(L190,'[1]POS_EAD_0112 a 3101_CAMP. REG)'!$F$5:$I$231,4,FALSE)</f>
        <v>19</v>
      </c>
      <c r="Q190" s="73">
        <f>VLOOKUP(L190,'[1]POS_EAD_0112 a 3101_CAMP. REG)'!$F$5:$J$231,5,FALSE)</f>
        <v>184.28091221052631</v>
      </c>
      <c r="R190" s="124">
        <f>VLOOKUP(L190,'[1]POS_EAD_0112 a 3101_CAMP. REG)'!$F$5:$L$231,7,FALSE)</f>
        <v>0.45</v>
      </c>
      <c r="S190" s="73">
        <f>VLOOKUP(L190,'[1]POS_EAD_0112 a 3101_CAMP. REG)'!$F$5:$M$231,8,FALSE)</f>
        <v>91.22</v>
      </c>
      <c r="T190" s="124">
        <f>VLOOKUP(L190,'[1]POS_EAD_0112 a 3101_CAMP. REG)'!$F$5:$P$231,11,FALSE)</f>
        <v>0.5</v>
      </c>
      <c r="U190" s="73">
        <f>VLOOKUP(L190,'[1]POS_EAD_0112 a 3101_CAMP. REG)'!$F$5:$Q$231,12,FALSE)</f>
        <v>82.93</v>
      </c>
      <c r="W190" s="121" t="s">
        <v>204</v>
      </c>
      <c r="X190" s="69" t="s">
        <v>19</v>
      </c>
      <c r="Y190" s="69" t="str">
        <f>VLOOKUP(W190,'[1]POS_EAD_0112 a 3101_CAMP. REG)'!$F$231:$G$461,2,FALSE)</f>
        <v>Exatas</v>
      </c>
      <c r="Z190" s="68">
        <f>VLOOKUP(W190,'[1]POS_EAD_0112 a 3101_CAMP. REG)'!$F$231:$H$461,3,FALSE)</f>
        <v>12</v>
      </c>
      <c r="AA190" s="68">
        <f>VLOOKUP(W190,'[1]POS_EAD_0112 a 3101_CAMP. REG)'!$F$231:$I$461,4,FALSE)</f>
        <v>19</v>
      </c>
      <c r="AB190" s="73">
        <f>VLOOKUP(W190,'[1]POS_EAD_0112 a 3101_CAMP. REG)'!$F$231:$J$461,5,FALSE)</f>
        <v>207.609666</v>
      </c>
      <c r="AC190" s="72">
        <f>VLOOKUP(W190,'[1]POS_EAD_0112 a 3101_CAMP. REG)'!$F$231:$L$461,7,FALSE)</f>
        <v>0.45</v>
      </c>
      <c r="AD190" s="73">
        <f>VLOOKUP(W190,'[1]POS_EAD_0112 a 3101_CAMP. REG)'!$F$231:$M$461,8,FALSE)</f>
        <v>102.77</v>
      </c>
      <c r="AE190" s="72">
        <f>VLOOKUP(W190,'[1]POS_EAD_0112 a 3101_CAMP. REG)'!$F$231:$P$461,11,FALSE)</f>
        <v>0.5</v>
      </c>
      <c r="AF190" s="73">
        <f>VLOOKUP(W190,'[1]POS_EAD_0112 a 3101_CAMP. REG)'!$F$231:$Q$461,12,FALSE)</f>
        <v>93.42</v>
      </c>
      <c r="AH190" s="121" t="s">
        <v>204</v>
      </c>
      <c r="AI190" s="69" t="s">
        <v>19</v>
      </c>
      <c r="AJ190" s="68" t="str">
        <f>VLOOKUP(UNG[[#This Row],[CURSO]],'[1]POS_EAD_0112 a 3101_CAMP. REG)'!$F$463:$G$688,2,FALSE)</f>
        <v>Exatas</v>
      </c>
      <c r="AK190" s="68">
        <f>VLOOKUP(UNG[[#This Row],[CURSO]],'[1]POS_EAD_0112 a 3101_CAMP. REG)'!$F$463:$H$688,3,FALSE)</f>
        <v>12</v>
      </c>
      <c r="AL190" s="68">
        <f>VLOOKUP(UNG[[#This Row],[CURSO]],'[1]POS_EAD_0112 a 3101_CAMP. REG)'!$F$463:$I$688,4,FALSE)</f>
        <v>19</v>
      </c>
      <c r="AM190" s="71">
        <f>VLOOKUP(UNG[[#This Row],[CURSO]],'[1]POS_EAD_0112 a 3101_CAMP. REG)'!$F$463:$J$688,5,FALSE)</f>
        <v>184.28091221052631</v>
      </c>
      <c r="AN190" s="124">
        <f>VLOOKUP(UNG[[#This Row],[CURSO]],'[1]POS_EAD_0112 a 3101_CAMP. REG)'!$F$463:$L$688,7,FALSE)</f>
        <v>0.45</v>
      </c>
      <c r="AO190" s="71">
        <f>VLOOKUP(UNG[[#This Row],[CURSO]],'[1]POS_EAD_0112 a 3101_CAMP. REG)'!$F$463:$M$688,8,FALSE)</f>
        <v>91.22</v>
      </c>
      <c r="AP190" s="124">
        <f>VLOOKUP(UNG[[#This Row],[CURSO]],'[1]POS_EAD_0112 a 3101_CAMP. REG)'!$F$463:$P$688,11,FALSE)</f>
        <v>0.5</v>
      </c>
      <c r="AQ190" s="71">
        <f>VLOOKUP(UNG[[#This Row],[CURSO]],'[1]POS_EAD_0112 a 3101_CAMP. REG)'!$F$463:$Q$688,12,FALSE)</f>
        <v>82.93</v>
      </c>
      <c r="AS190" s="121" t="s">
        <v>204</v>
      </c>
      <c r="AT190" s="69" t="s">
        <v>19</v>
      </c>
      <c r="AU190" s="69" t="str">
        <f>VLOOKUP(UNINASSAU[[#This Row],[CURSO]],'[1]POS_EAD_0112 a 3101_CAMP. REG)'!$F$690:$G$915,2,FALSE)</f>
        <v>Exatas</v>
      </c>
      <c r="AV190" s="69">
        <f>VLOOKUP(UNINASSAU[[#This Row],[CURSO]],'[1]POS_EAD_0112 a 3101_CAMP. REG)'!$F$690:$H$915,3,FALSE)</f>
        <v>12</v>
      </c>
      <c r="AW190" s="69">
        <f>VLOOKUP(UNINASSAU[[#This Row],[CURSO]],'[1]POS_EAD_0112 a 3101_CAMP. REG)'!$F$690:$I$915,4,FALSE)</f>
        <v>19</v>
      </c>
      <c r="AX190" s="73">
        <f>VLOOKUP(UNINASSAU[[#This Row],[CURSO]],'[1]POS_EAD_0112 a 3101_CAMP. REG)'!$F$690:$J$915,5,FALSE)</f>
        <v>184.28091221052631</v>
      </c>
      <c r="AY190" s="72">
        <f>VLOOKUP(UNINASSAU[[#This Row],[CURSO]],'[1]POS_EAD_0112 a 3101_CAMP. REG)'!$F$690:$L$915,7,FALSE)</f>
        <v>0.45</v>
      </c>
      <c r="AZ190" s="73">
        <f>VLOOKUP(UNINASSAU[[#This Row],[CURSO]],'[1]POS_EAD_0112 a 3101_CAMP. REG)'!$F$690:$N$915,8,FALSE)</f>
        <v>91.22</v>
      </c>
      <c r="BA190" s="72">
        <f>VLOOKUP(UNINASSAU[[#This Row],[CURSO]],'[1]POS_EAD_0112 a 3101_CAMP. REG)'!$F$690:$P$915,11,FALSE)</f>
        <v>0.5</v>
      </c>
      <c r="BB190" s="73">
        <f>VLOOKUP(UNINASSAU[[#This Row],[CURSO]],'[1]POS_EAD_0112 a 3101_CAMP. REG)'!$F$690:$Q$915,12,FALSE)</f>
        <v>82.93</v>
      </c>
      <c r="BD190" s="104">
        <v>187</v>
      </c>
      <c r="BE190" s="121" t="s">
        <v>204</v>
      </c>
      <c r="BF190" s="69" t="s">
        <v>19</v>
      </c>
    </row>
    <row r="191" spans="12:58" x14ac:dyDescent="0.25">
      <c r="L191" s="121" t="s">
        <v>154</v>
      </c>
      <c r="M191" s="69" t="s">
        <v>19</v>
      </c>
      <c r="N191" s="69" t="str">
        <f>VLOOKUP($L$4,'[1]POS_EAD_0112 a 3101_CAMP. REG)'!$F$5:$G$231,2,FALSE)</f>
        <v>Humanas</v>
      </c>
      <c r="O191" s="69">
        <f>VLOOKUP(L191,'[1]POS_EAD_0112 a 3101_CAMP. REG)'!$F$5:$H$231,3,FALSE)</f>
        <v>12</v>
      </c>
      <c r="P191" s="68">
        <f>VLOOKUP(L191,'[1]POS_EAD_0112 a 3101_CAMP. REG)'!$F$5:$I$231,4,FALSE)</f>
        <v>19</v>
      </c>
      <c r="Q191" s="73">
        <f>VLOOKUP(L191,'[1]POS_EAD_0112 a 3101_CAMP. REG)'!$F$5:$J$231,5,FALSE)</f>
        <v>184.28091221052631</v>
      </c>
      <c r="R191" s="124">
        <f>VLOOKUP(L191,'[1]POS_EAD_0112 a 3101_CAMP. REG)'!$F$5:$L$231,7,FALSE)</f>
        <v>0.45</v>
      </c>
      <c r="S191" s="73">
        <f>VLOOKUP(L191,'[1]POS_EAD_0112 a 3101_CAMP. REG)'!$F$5:$M$231,8,FALSE)</f>
        <v>91.22</v>
      </c>
      <c r="T191" s="124">
        <f>VLOOKUP(L191,'[1]POS_EAD_0112 a 3101_CAMP. REG)'!$F$5:$P$231,11,FALSE)</f>
        <v>0.5</v>
      </c>
      <c r="U191" s="73">
        <f>VLOOKUP(L191,'[1]POS_EAD_0112 a 3101_CAMP. REG)'!$F$5:$Q$231,12,FALSE)</f>
        <v>82.93</v>
      </c>
      <c r="W191" s="121" t="s">
        <v>154</v>
      </c>
      <c r="X191" s="69" t="s">
        <v>19</v>
      </c>
      <c r="Y191" s="69" t="str">
        <f>VLOOKUP(W191,'[1]POS_EAD_0112 a 3101_CAMP. REG)'!$F$231:$G$461,2,FALSE)</f>
        <v>Exatas</v>
      </c>
      <c r="Z191" s="68">
        <f>VLOOKUP(W191,'[1]POS_EAD_0112 a 3101_CAMP. REG)'!$F$231:$H$461,3,FALSE)</f>
        <v>12</v>
      </c>
      <c r="AA191" s="68">
        <f>VLOOKUP(W191,'[1]POS_EAD_0112 a 3101_CAMP. REG)'!$F$231:$I$461,4,FALSE)</f>
        <v>19</v>
      </c>
      <c r="AB191" s="73">
        <f>VLOOKUP(W191,'[1]POS_EAD_0112 a 3101_CAMP. REG)'!$F$231:$J$461,5,FALSE)</f>
        <v>207.609666</v>
      </c>
      <c r="AC191" s="72">
        <f>VLOOKUP(W191,'[1]POS_EAD_0112 a 3101_CAMP. REG)'!$F$231:$L$461,7,FALSE)</f>
        <v>0.45</v>
      </c>
      <c r="AD191" s="73">
        <f>VLOOKUP(W191,'[1]POS_EAD_0112 a 3101_CAMP. REG)'!$F$231:$M$461,8,FALSE)</f>
        <v>102.77</v>
      </c>
      <c r="AE191" s="72">
        <f>VLOOKUP(W191,'[1]POS_EAD_0112 a 3101_CAMP. REG)'!$F$231:$P$461,11,FALSE)</f>
        <v>0.5</v>
      </c>
      <c r="AF191" s="73">
        <f>VLOOKUP(W191,'[1]POS_EAD_0112 a 3101_CAMP. REG)'!$F$231:$Q$461,12,FALSE)</f>
        <v>93.42</v>
      </c>
      <c r="AH191" s="121" t="s">
        <v>154</v>
      </c>
      <c r="AI191" s="69" t="s">
        <v>19</v>
      </c>
      <c r="AJ191" s="68" t="str">
        <f>VLOOKUP(UNG[[#This Row],[CURSO]],'[1]POS_EAD_0112 a 3101_CAMP. REG)'!$F$463:$G$688,2,FALSE)</f>
        <v>Exatas</v>
      </c>
      <c r="AK191" s="68">
        <f>VLOOKUP(UNG[[#This Row],[CURSO]],'[1]POS_EAD_0112 a 3101_CAMP. REG)'!$F$463:$H$688,3,FALSE)</f>
        <v>12</v>
      </c>
      <c r="AL191" s="68">
        <f>VLOOKUP(UNG[[#This Row],[CURSO]],'[1]POS_EAD_0112 a 3101_CAMP. REG)'!$F$463:$I$688,4,FALSE)</f>
        <v>19</v>
      </c>
      <c r="AM191" s="71">
        <f>VLOOKUP(UNG[[#This Row],[CURSO]],'[1]POS_EAD_0112 a 3101_CAMP. REG)'!$F$463:$J$688,5,FALSE)</f>
        <v>184.28091221052631</v>
      </c>
      <c r="AN191" s="124">
        <f>VLOOKUP(UNG[[#This Row],[CURSO]],'[1]POS_EAD_0112 a 3101_CAMP. REG)'!$F$463:$L$688,7,FALSE)</f>
        <v>0.45</v>
      </c>
      <c r="AO191" s="71">
        <f>VLOOKUP(UNG[[#This Row],[CURSO]],'[1]POS_EAD_0112 a 3101_CAMP. REG)'!$F$463:$M$688,8,FALSE)</f>
        <v>91.22</v>
      </c>
      <c r="AP191" s="124">
        <f>VLOOKUP(UNG[[#This Row],[CURSO]],'[1]POS_EAD_0112 a 3101_CAMP. REG)'!$F$463:$P$688,11,FALSE)</f>
        <v>0.5</v>
      </c>
      <c r="AQ191" s="71">
        <f>VLOOKUP(UNG[[#This Row],[CURSO]],'[1]POS_EAD_0112 a 3101_CAMP. REG)'!$F$463:$Q$688,12,FALSE)</f>
        <v>82.93</v>
      </c>
      <c r="AS191" s="121" t="s">
        <v>154</v>
      </c>
      <c r="AT191" s="69" t="s">
        <v>19</v>
      </c>
      <c r="AU191" s="69" t="str">
        <f>VLOOKUP(UNINASSAU[[#This Row],[CURSO]],'[1]POS_EAD_0112 a 3101_CAMP. REG)'!$F$690:$G$915,2,FALSE)</f>
        <v>Exatas</v>
      </c>
      <c r="AV191" s="69">
        <f>VLOOKUP(UNINASSAU[[#This Row],[CURSO]],'[1]POS_EAD_0112 a 3101_CAMP. REG)'!$F$690:$H$915,3,FALSE)</f>
        <v>12</v>
      </c>
      <c r="AW191" s="69">
        <f>VLOOKUP(UNINASSAU[[#This Row],[CURSO]],'[1]POS_EAD_0112 a 3101_CAMP. REG)'!$F$690:$I$915,4,FALSE)</f>
        <v>19</v>
      </c>
      <c r="AX191" s="73">
        <f>VLOOKUP(UNINASSAU[[#This Row],[CURSO]],'[1]POS_EAD_0112 a 3101_CAMP. REG)'!$F$690:$J$915,5,FALSE)</f>
        <v>184.28091221052631</v>
      </c>
      <c r="AY191" s="72">
        <f>VLOOKUP(UNINASSAU[[#This Row],[CURSO]],'[1]POS_EAD_0112 a 3101_CAMP. REG)'!$F$690:$L$915,7,FALSE)</f>
        <v>0.45</v>
      </c>
      <c r="AZ191" s="73">
        <f>VLOOKUP(UNINASSAU[[#This Row],[CURSO]],'[1]POS_EAD_0112 a 3101_CAMP. REG)'!$F$690:$N$915,8,FALSE)</f>
        <v>91.22</v>
      </c>
      <c r="BA191" s="72">
        <f>VLOOKUP(UNINASSAU[[#This Row],[CURSO]],'[1]POS_EAD_0112 a 3101_CAMP. REG)'!$F$690:$P$915,11,FALSE)</f>
        <v>0.5</v>
      </c>
      <c r="BB191" s="73">
        <f>VLOOKUP(UNINASSAU[[#This Row],[CURSO]],'[1]POS_EAD_0112 a 3101_CAMP. REG)'!$F$690:$Q$915,12,FALSE)</f>
        <v>82.93</v>
      </c>
      <c r="BD191" s="104">
        <v>188</v>
      </c>
      <c r="BE191" s="121" t="s">
        <v>154</v>
      </c>
      <c r="BF191" s="69" t="s">
        <v>19</v>
      </c>
    </row>
    <row r="192" spans="12:58" x14ac:dyDescent="0.25">
      <c r="L192" s="121" t="s">
        <v>132</v>
      </c>
      <c r="M192" s="69" t="s">
        <v>19</v>
      </c>
      <c r="N192" s="69" t="str">
        <f>VLOOKUP($L$4,'[1]POS_EAD_0112 a 3101_CAMP. REG)'!$F$5:$G$231,2,FALSE)</f>
        <v>Humanas</v>
      </c>
      <c r="O192" s="69">
        <f>VLOOKUP(L192,'[1]POS_EAD_0112 a 3101_CAMP. REG)'!$F$5:$H$231,3,FALSE)</f>
        <v>12</v>
      </c>
      <c r="P192" s="68">
        <f>VLOOKUP(L192,'[1]POS_EAD_0112 a 3101_CAMP. REG)'!$F$5:$I$231,4,FALSE)</f>
        <v>19</v>
      </c>
      <c r="Q192" s="73">
        <f>VLOOKUP(L192,'[1]POS_EAD_0112 a 3101_CAMP. REG)'!$F$5:$J$231,5,FALSE)</f>
        <v>184.28091221052631</v>
      </c>
      <c r="R192" s="124">
        <f>VLOOKUP(L192,'[1]POS_EAD_0112 a 3101_CAMP. REG)'!$F$5:$L$231,7,FALSE)</f>
        <v>0.45</v>
      </c>
      <c r="S192" s="73">
        <f>VLOOKUP(L192,'[1]POS_EAD_0112 a 3101_CAMP. REG)'!$F$5:$M$231,8,FALSE)</f>
        <v>91.22</v>
      </c>
      <c r="T192" s="124">
        <f>VLOOKUP(L192,'[1]POS_EAD_0112 a 3101_CAMP. REG)'!$F$5:$P$231,11,FALSE)</f>
        <v>0.5</v>
      </c>
      <c r="U192" s="73">
        <f>VLOOKUP(L192,'[1]POS_EAD_0112 a 3101_CAMP. REG)'!$F$5:$Q$231,12,FALSE)</f>
        <v>82.93</v>
      </c>
      <c r="W192" s="121" t="s">
        <v>132</v>
      </c>
      <c r="X192" s="69" t="s">
        <v>19</v>
      </c>
      <c r="Y192" s="69" t="str">
        <f>VLOOKUP(W192,'[1]POS_EAD_0112 a 3101_CAMP. REG)'!$F$231:$G$461,2,FALSE)</f>
        <v>Exatas</v>
      </c>
      <c r="Z192" s="68">
        <f>VLOOKUP(W192,'[1]POS_EAD_0112 a 3101_CAMP. REG)'!$F$231:$H$461,3,FALSE)</f>
        <v>12</v>
      </c>
      <c r="AA192" s="68">
        <f>VLOOKUP(W192,'[1]POS_EAD_0112 a 3101_CAMP. REG)'!$F$231:$I$461,4,FALSE)</f>
        <v>19</v>
      </c>
      <c r="AB192" s="73">
        <f>VLOOKUP(W192,'[1]POS_EAD_0112 a 3101_CAMP. REG)'!$F$231:$J$461,5,FALSE)</f>
        <v>207.609666</v>
      </c>
      <c r="AC192" s="72">
        <f>VLOOKUP(W192,'[1]POS_EAD_0112 a 3101_CAMP. REG)'!$F$231:$L$461,7,FALSE)</f>
        <v>0.45</v>
      </c>
      <c r="AD192" s="73">
        <f>VLOOKUP(W192,'[1]POS_EAD_0112 a 3101_CAMP. REG)'!$F$231:$M$461,8,FALSE)</f>
        <v>102.77</v>
      </c>
      <c r="AE192" s="72">
        <f>VLOOKUP(W192,'[1]POS_EAD_0112 a 3101_CAMP. REG)'!$F$231:$P$461,11,FALSE)</f>
        <v>0.5</v>
      </c>
      <c r="AF192" s="73">
        <f>VLOOKUP(W192,'[1]POS_EAD_0112 a 3101_CAMP. REG)'!$F$231:$Q$461,12,FALSE)</f>
        <v>93.42</v>
      </c>
      <c r="AH192" s="121" t="s">
        <v>132</v>
      </c>
      <c r="AI192" s="69" t="s">
        <v>19</v>
      </c>
      <c r="AJ192" s="68" t="str">
        <f>VLOOKUP(UNG[[#This Row],[CURSO]],'[1]POS_EAD_0112 a 3101_CAMP. REG)'!$F$463:$G$688,2,FALSE)</f>
        <v>Exatas</v>
      </c>
      <c r="AK192" s="68">
        <f>VLOOKUP(UNG[[#This Row],[CURSO]],'[1]POS_EAD_0112 a 3101_CAMP. REG)'!$F$463:$H$688,3,FALSE)</f>
        <v>12</v>
      </c>
      <c r="AL192" s="68">
        <f>VLOOKUP(UNG[[#This Row],[CURSO]],'[1]POS_EAD_0112 a 3101_CAMP. REG)'!$F$463:$I$688,4,FALSE)</f>
        <v>19</v>
      </c>
      <c r="AM192" s="71">
        <f>VLOOKUP(UNG[[#This Row],[CURSO]],'[1]POS_EAD_0112 a 3101_CAMP. REG)'!$F$463:$J$688,5,FALSE)</f>
        <v>184.28091221052631</v>
      </c>
      <c r="AN192" s="124">
        <f>VLOOKUP(UNG[[#This Row],[CURSO]],'[1]POS_EAD_0112 a 3101_CAMP. REG)'!$F$463:$L$688,7,FALSE)</f>
        <v>0.45</v>
      </c>
      <c r="AO192" s="71">
        <f>VLOOKUP(UNG[[#This Row],[CURSO]],'[1]POS_EAD_0112 a 3101_CAMP. REG)'!$F$463:$M$688,8,FALSE)</f>
        <v>91.22</v>
      </c>
      <c r="AP192" s="124">
        <f>VLOOKUP(UNG[[#This Row],[CURSO]],'[1]POS_EAD_0112 a 3101_CAMP. REG)'!$F$463:$P$688,11,FALSE)</f>
        <v>0.5</v>
      </c>
      <c r="AQ192" s="71">
        <f>VLOOKUP(UNG[[#This Row],[CURSO]],'[1]POS_EAD_0112 a 3101_CAMP. REG)'!$F$463:$Q$688,12,FALSE)</f>
        <v>82.93</v>
      </c>
      <c r="AS192" s="121" t="s">
        <v>132</v>
      </c>
      <c r="AT192" s="69" t="s">
        <v>19</v>
      </c>
      <c r="AU192" s="69" t="str">
        <f>VLOOKUP(UNINASSAU[[#This Row],[CURSO]],'[1]POS_EAD_0112 a 3101_CAMP. REG)'!$F$690:$G$915,2,FALSE)</f>
        <v>Exatas</v>
      </c>
      <c r="AV192" s="69">
        <f>VLOOKUP(UNINASSAU[[#This Row],[CURSO]],'[1]POS_EAD_0112 a 3101_CAMP. REG)'!$F$690:$H$915,3,FALSE)</f>
        <v>12</v>
      </c>
      <c r="AW192" s="69">
        <f>VLOOKUP(UNINASSAU[[#This Row],[CURSO]],'[1]POS_EAD_0112 a 3101_CAMP. REG)'!$F$690:$I$915,4,FALSE)</f>
        <v>19</v>
      </c>
      <c r="AX192" s="73">
        <f>VLOOKUP(UNINASSAU[[#This Row],[CURSO]],'[1]POS_EAD_0112 a 3101_CAMP. REG)'!$F$690:$J$915,5,FALSE)</f>
        <v>184.28091221052631</v>
      </c>
      <c r="AY192" s="72">
        <f>VLOOKUP(UNINASSAU[[#This Row],[CURSO]],'[1]POS_EAD_0112 a 3101_CAMP. REG)'!$F$690:$L$915,7,FALSE)</f>
        <v>0.45</v>
      </c>
      <c r="AZ192" s="73">
        <f>VLOOKUP(UNINASSAU[[#This Row],[CURSO]],'[1]POS_EAD_0112 a 3101_CAMP. REG)'!$F$690:$N$915,8,FALSE)</f>
        <v>91.22</v>
      </c>
      <c r="BA192" s="72">
        <f>VLOOKUP(UNINASSAU[[#This Row],[CURSO]],'[1]POS_EAD_0112 a 3101_CAMP. REG)'!$F$690:$P$915,11,FALSE)</f>
        <v>0.5</v>
      </c>
      <c r="BB192" s="73">
        <f>VLOOKUP(UNINASSAU[[#This Row],[CURSO]],'[1]POS_EAD_0112 a 3101_CAMP. REG)'!$F$690:$Q$915,12,FALSE)</f>
        <v>82.93</v>
      </c>
      <c r="BD192" s="104">
        <v>189</v>
      </c>
      <c r="BE192" s="121" t="s">
        <v>132</v>
      </c>
      <c r="BF192" s="69" t="s">
        <v>19</v>
      </c>
    </row>
    <row r="193" spans="12:58" x14ac:dyDescent="0.25">
      <c r="L193" s="121" t="s">
        <v>48</v>
      </c>
      <c r="M193" s="69" t="s">
        <v>19</v>
      </c>
      <c r="N193" s="69" t="str">
        <f>VLOOKUP($L$4,'[1]POS_EAD_0112 a 3101_CAMP. REG)'!$F$5:$G$231,2,FALSE)</f>
        <v>Humanas</v>
      </c>
      <c r="O193" s="69">
        <f>VLOOKUP(L193,'[1]POS_EAD_0112 a 3101_CAMP. REG)'!$F$5:$H$231,3,FALSE)</f>
        <v>12</v>
      </c>
      <c r="P193" s="68">
        <f>VLOOKUP(L193,'[1]POS_EAD_0112 a 3101_CAMP. REG)'!$F$5:$I$231,4,FALSE)</f>
        <v>19</v>
      </c>
      <c r="Q193" s="73">
        <f>VLOOKUP(L193,'[1]POS_EAD_0112 a 3101_CAMP. REG)'!$F$5:$J$231,5,FALSE)</f>
        <v>184.28091221052631</v>
      </c>
      <c r="R193" s="124">
        <f>VLOOKUP(L193,'[1]POS_EAD_0112 a 3101_CAMP. REG)'!$F$5:$L$231,7,FALSE)</f>
        <v>0.45</v>
      </c>
      <c r="S193" s="73">
        <f>VLOOKUP(L193,'[1]POS_EAD_0112 a 3101_CAMP. REG)'!$F$5:$M$231,8,FALSE)</f>
        <v>91.22</v>
      </c>
      <c r="T193" s="124">
        <f>VLOOKUP(L193,'[1]POS_EAD_0112 a 3101_CAMP. REG)'!$F$5:$P$231,11,FALSE)</f>
        <v>0.5</v>
      </c>
      <c r="U193" s="73">
        <f>VLOOKUP(L193,'[1]POS_EAD_0112 a 3101_CAMP. REG)'!$F$5:$Q$231,12,FALSE)</f>
        <v>82.93</v>
      </c>
      <c r="W193" s="121" t="s">
        <v>48</v>
      </c>
      <c r="X193" s="69" t="s">
        <v>19</v>
      </c>
      <c r="Y193" s="69" t="str">
        <f>VLOOKUP(W193,'[1]POS_EAD_0112 a 3101_CAMP. REG)'!$F$231:$G$461,2,FALSE)</f>
        <v>Humanas</v>
      </c>
      <c r="Z193" s="68">
        <f>VLOOKUP(W193,'[1]POS_EAD_0112 a 3101_CAMP. REG)'!$F$231:$H$461,3,FALSE)</f>
        <v>12</v>
      </c>
      <c r="AA193" s="68">
        <f>VLOOKUP(W193,'[1]POS_EAD_0112 a 3101_CAMP. REG)'!$F$231:$I$461,4,FALSE)</f>
        <v>19</v>
      </c>
      <c r="AB193" s="73">
        <f>VLOOKUP(W193,'[1]POS_EAD_0112 a 3101_CAMP. REG)'!$F$231:$J$461,5,FALSE)</f>
        <v>207.609666</v>
      </c>
      <c r="AC193" s="72">
        <f>VLOOKUP(W193,'[1]POS_EAD_0112 a 3101_CAMP. REG)'!$F$231:$L$461,7,FALSE)</f>
        <v>0.45</v>
      </c>
      <c r="AD193" s="73">
        <f>VLOOKUP(W193,'[1]POS_EAD_0112 a 3101_CAMP. REG)'!$F$231:$M$461,8,FALSE)</f>
        <v>102.77</v>
      </c>
      <c r="AE193" s="72">
        <f>VLOOKUP(W193,'[1]POS_EAD_0112 a 3101_CAMP. REG)'!$F$231:$P$461,11,FALSE)</f>
        <v>0.5</v>
      </c>
      <c r="AF193" s="73">
        <f>VLOOKUP(W193,'[1]POS_EAD_0112 a 3101_CAMP. REG)'!$F$231:$Q$461,12,FALSE)</f>
        <v>93.42</v>
      </c>
      <c r="AH193" s="121" t="s">
        <v>48</v>
      </c>
      <c r="AI193" s="69" t="s">
        <v>19</v>
      </c>
      <c r="AJ193" s="68" t="str">
        <f>VLOOKUP(UNG[[#This Row],[CURSO]],'[1]POS_EAD_0112 a 3101_CAMP. REG)'!$F$463:$G$688,2,FALSE)</f>
        <v>Humanas</v>
      </c>
      <c r="AK193" s="68">
        <f>VLOOKUP(UNG[[#This Row],[CURSO]],'[1]POS_EAD_0112 a 3101_CAMP. REG)'!$F$463:$H$688,3,FALSE)</f>
        <v>12</v>
      </c>
      <c r="AL193" s="68">
        <f>VLOOKUP(UNG[[#This Row],[CURSO]],'[1]POS_EAD_0112 a 3101_CAMP. REG)'!$F$463:$I$688,4,FALSE)</f>
        <v>19</v>
      </c>
      <c r="AM193" s="71">
        <f>VLOOKUP(UNG[[#This Row],[CURSO]],'[1]POS_EAD_0112 a 3101_CAMP. REG)'!$F$463:$J$688,5,FALSE)</f>
        <v>184.28091221052631</v>
      </c>
      <c r="AN193" s="124">
        <f>VLOOKUP(UNG[[#This Row],[CURSO]],'[1]POS_EAD_0112 a 3101_CAMP. REG)'!$F$463:$L$688,7,FALSE)</f>
        <v>0.45</v>
      </c>
      <c r="AO193" s="71">
        <f>VLOOKUP(UNG[[#This Row],[CURSO]],'[1]POS_EAD_0112 a 3101_CAMP. REG)'!$F$463:$M$688,8,FALSE)</f>
        <v>91.22</v>
      </c>
      <c r="AP193" s="124">
        <f>VLOOKUP(UNG[[#This Row],[CURSO]],'[1]POS_EAD_0112 a 3101_CAMP. REG)'!$F$463:$P$688,11,FALSE)</f>
        <v>0.5</v>
      </c>
      <c r="AQ193" s="71">
        <f>VLOOKUP(UNG[[#This Row],[CURSO]],'[1]POS_EAD_0112 a 3101_CAMP. REG)'!$F$463:$Q$688,12,FALSE)</f>
        <v>82.93</v>
      </c>
      <c r="AS193" s="121" t="s">
        <v>48</v>
      </c>
      <c r="AT193" s="69" t="s">
        <v>19</v>
      </c>
      <c r="AU193" s="69" t="str">
        <f>VLOOKUP(UNINASSAU[[#This Row],[CURSO]],'[1]POS_EAD_0112 a 3101_CAMP. REG)'!$F$690:$G$915,2,FALSE)</f>
        <v>Humanas</v>
      </c>
      <c r="AV193" s="69">
        <f>VLOOKUP(UNINASSAU[[#This Row],[CURSO]],'[1]POS_EAD_0112 a 3101_CAMP. REG)'!$F$690:$H$915,3,FALSE)</f>
        <v>12</v>
      </c>
      <c r="AW193" s="69">
        <f>VLOOKUP(UNINASSAU[[#This Row],[CURSO]],'[1]POS_EAD_0112 a 3101_CAMP. REG)'!$F$690:$I$915,4,FALSE)</f>
        <v>19</v>
      </c>
      <c r="AX193" s="73">
        <f>VLOOKUP(UNINASSAU[[#This Row],[CURSO]],'[1]POS_EAD_0112 a 3101_CAMP. REG)'!$F$690:$J$915,5,FALSE)</f>
        <v>184.28091221052631</v>
      </c>
      <c r="AY193" s="72">
        <f>VLOOKUP(UNINASSAU[[#This Row],[CURSO]],'[1]POS_EAD_0112 a 3101_CAMP. REG)'!$F$690:$L$915,7,FALSE)</f>
        <v>0.45</v>
      </c>
      <c r="AZ193" s="73">
        <f>VLOOKUP(UNINASSAU[[#This Row],[CURSO]],'[1]POS_EAD_0112 a 3101_CAMP. REG)'!$F$690:$N$915,8,FALSE)</f>
        <v>91.22</v>
      </c>
      <c r="BA193" s="72">
        <f>VLOOKUP(UNINASSAU[[#This Row],[CURSO]],'[1]POS_EAD_0112 a 3101_CAMP. REG)'!$F$690:$P$915,11,FALSE)</f>
        <v>0.5</v>
      </c>
      <c r="BB193" s="73">
        <f>VLOOKUP(UNINASSAU[[#This Row],[CURSO]],'[1]POS_EAD_0112 a 3101_CAMP. REG)'!$F$690:$Q$915,12,FALSE)</f>
        <v>82.93</v>
      </c>
      <c r="BD193" s="104">
        <v>190</v>
      </c>
      <c r="BE193" s="121" t="s">
        <v>48</v>
      </c>
      <c r="BF193" s="69" t="s">
        <v>19</v>
      </c>
    </row>
    <row r="194" spans="12:58" x14ac:dyDescent="0.25">
      <c r="L194" s="121" t="s">
        <v>53</v>
      </c>
      <c r="M194" s="69" t="s">
        <v>19</v>
      </c>
      <c r="N194" s="69" t="str">
        <f>VLOOKUP($L$4,'[1]POS_EAD_0112 a 3101_CAMP. REG)'!$F$5:$G$231,2,FALSE)</f>
        <v>Humanas</v>
      </c>
      <c r="O194" s="69">
        <f>VLOOKUP(L194,'[1]POS_EAD_0112 a 3101_CAMP. REG)'!$F$5:$H$231,3,FALSE)</f>
        <v>12</v>
      </c>
      <c r="P194" s="68">
        <f>VLOOKUP(L194,'[1]POS_EAD_0112 a 3101_CAMP. REG)'!$F$5:$I$231,4,FALSE)</f>
        <v>19</v>
      </c>
      <c r="Q194" s="73">
        <f>VLOOKUP(L194,'[1]POS_EAD_0112 a 3101_CAMP. REG)'!$F$5:$J$231,5,FALSE)</f>
        <v>277.58266800000001</v>
      </c>
      <c r="R194" s="124">
        <f>VLOOKUP(L194,'[1]POS_EAD_0112 a 3101_CAMP. REG)'!$F$5:$L$231,7,FALSE)</f>
        <v>0.45</v>
      </c>
      <c r="S194" s="73">
        <f>VLOOKUP(L194,'[1]POS_EAD_0112 a 3101_CAMP. REG)'!$F$5:$M$231,8,FALSE)</f>
        <v>137.4</v>
      </c>
      <c r="T194" s="124">
        <f>VLOOKUP(L194,'[1]POS_EAD_0112 a 3101_CAMP. REG)'!$F$5:$P$231,11,FALSE)</f>
        <v>0.5</v>
      </c>
      <c r="U194" s="73">
        <f>VLOOKUP(L194,'[1]POS_EAD_0112 a 3101_CAMP. REG)'!$F$5:$Q$231,12,FALSE)</f>
        <v>124.91</v>
      </c>
      <c r="W194" s="121" t="s">
        <v>53</v>
      </c>
      <c r="X194" s="69" t="s">
        <v>19</v>
      </c>
      <c r="Y194" s="69" t="str">
        <f>VLOOKUP(W194,'[1]POS_EAD_0112 a 3101_CAMP. REG)'!$F$231:$G$461,2,FALSE)</f>
        <v>Saúde</v>
      </c>
      <c r="Z194" s="68">
        <f>VLOOKUP(W194,'[1]POS_EAD_0112 a 3101_CAMP. REG)'!$F$231:$H$461,3,FALSE)</f>
        <v>12</v>
      </c>
      <c r="AA194" s="68">
        <f>VLOOKUP(W194,'[1]POS_EAD_0112 a 3101_CAMP. REG)'!$F$231:$I$461,4,FALSE)</f>
        <v>19</v>
      </c>
      <c r="AB194" s="73">
        <f>VLOOKUP(W194,'[1]POS_EAD_0112 a 3101_CAMP. REG)'!$F$231:$J$461,5,FALSE)</f>
        <v>300.91749900000002</v>
      </c>
      <c r="AC194" s="72">
        <f>VLOOKUP(W194,'[1]POS_EAD_0112 a 3101_CAMP. REG)'!$F$231:$L$461,7,FALSE)</f>
        <v>0.45</v>
      </c>
      <c r="AD194" s="73">
        <f>VLOOKUP(W194,'[1]POS_EAD_0112 a 3101_CAMP. REG)'!$F$231:$M$461,8,FALSE)</f>
        <v>148.94999999999999</v>
      </c>
      <c r="AE194" s="72">
        <f>VLOOKUP(W194,'[1]POS_EAD_0112 a 3101_CAMP. REG)'!$F$231:$P$461,11,FALSE)</f>
        <v>0.5</v>
      </c>
      <c r="AF194" s="73">
        <f>VLOOKUP(W194,'[1]POS_EAD_0112 a 3101_CAMP. REG)'!$F$231:$Q$461,12,FALSE)</f>
        <v>135.41</v>
      </c>
      <c r="AH194" s="121" t="s">
        <v>53</v>
      </c>
      <c r="AI194" s="69" t="s">
        <v>19</v>
      </c>
      <c r="AJ194" s="68" t="str">
        <f>VLOOKUP(UNG[[#This Row],[CURSO]],'[1]POS_EAD_0112 a 3101_CAMP. REG)'!$F$463:$G$688,2,FALSE)</f>
        <v>Saúde</v>
      </c>
      <c r="AK194" s="68">
        <f>VLOOKUP(UNG[[#This Row],[CURSO]],'[1]POS_EAD_0112 a 3101_CAMP. REG)'!$F$463:$H$688,3,FALSE)</f>
        <v>12</v>
      </c>
      <c r="AL194" s="68">
        <f>VLOOKUP(UNG[[#This Row],[CURSO]],'[1]POS_EAD_0112 a 3101_CAMP. REG)'!$F$463:$I$688,4,FALSE)</f>
        <v>19</v>
      </c>
      <c r="AM194" s="71">
        <f>VLOOKUP(UNG[[#This Row],[CURSO]],'[1]POS_EAD_0112 a 3101_CAMP. REG)'!$F$463:$J$688,5,FALSE)</f>
        <v>277.58266800000001</v>
      </c>
      <c r="AN194" s="124">
        <f>VLOOKUP(UNG[[#This Row],[CURSO]],'[1]POS_EAD_0112 a 3101_CAMP. REG)'!$F$463:$L$688,7,FALSE)</f>
        <v>0.45</v>
      </c>
      <c r="AO194" s="71">
        <f>VLOOKUP(UNG[[#This Row],[CURSO]],'[1]POS_EAD_0112 a 3101_CAMP. REG)'!$F$463:$M$688,8,FALSE)</f>
        <v>137.4</v>
      </c>
      <c r="AP194" s="124">
        <f>VLOOKUP(UNG[[#This Row],[CURSO]],'[1]POS_EAD_0112 a 3101_CAMP. REG)'!$F$463:$P$688,11,FALSE)</f>
        <v>0.5</v>
      </c>
      <c r="AQ194" s="71">
        <f>VLOOKUP(UNG[[#This Row],[CURSO]],'[1]POS_EAD_0112 a 3101_CAMP. REG)'!$F$463:$Q$688,12,FALSE)</f>
        <v>124.91</v>
      </c>
      <c r="AS194" s="121" t="s">
        <v>53</v>
      </c>
      <c r="AT194" s="69" t="s">
        <v>19</v>
      </c>
      <c r="AU194" s="69" t="str">
        <f>VLOOKUP(UNINASSAU[[#This Row],[CURSO]],'[1]POS_EAD_0112 a 3101_CAMP. REG)'!$F$690:$G$915,2,FALSE)</f>
        <v>Saúde</v>
      </c>
      <c r="AV194" s="69">
        <f>VLOOKUP(UNINASSAU[[#This Row],[CURSO]],'[1]POS_EAD_0112 a 3101_CAMP. REG)'!$F$690:$H$915,3,FALSE)</f>
        <v>12</v>
      </c>
      <c r="AW194" s="69">
        <f>VLOOKUP(UNINASSAU[[#This Row],[CURSO]],'[1]POS_EAD_0112 a 3101_CAMP. REG)'!$F$690:$I$915,4,FALSE)</f>
        <v>19</v>
      </c>
      <c r="AX194" s="73">
        <f>VLOOKUP(UNINASSAU[[#This Row],[CURSO]],'[1]POS_EAD_0112 a 3101_CAMP. REG)'!$F$690:$J$915,5,FALSE)</f>
        <v>277.58266800000001</v>
      </c>
      <c r="AY194" s="72">
        <f>VLOOKUP(UNINASSAU[[#This Row],[CURSO]],'[1]POS_EAD_0112 a 3101_CAMP. REG)'!$F$690:$L$915,7,FALSE)</f>
        <v>0.45</v>
      </c>
      <c r="AZ194" s="73">
        <f>VLOOKUP(UNINASSAU[[#This Row],[CURSO]],'[1]POS_EAD_0112 a 3101_CAMP. REG)'!$F$690:$N$915,8,FALSE)</f>
        <v>137.4</v>
      </c>
      <c r="BA194" s="72">
        <f>VLOOKUP(UNINASSAU[[#This Row],[CURSO]],'[1]POS_EAD_0112 a 3101_CAMP. REG)'!$F$690:$P$915,11,FALSE)</f>
        <v>0.5</v>
      </c>
      <c r="BB194" s="73">
        <f>VLOOKUP(UNINASSAU[[#This Row],[CURSO]],'[1]POS_EAD_0112 a 3101_CAMP. REG)'!$F$690:$Q$915,12,FALSE)</f>
        <v>124.91</v>
      </c>
      <c r="BD194" s="104">
        <v>191</v>
      </c>
      <c r="BE194" s="121" t="s">
        <v>53</v>
      </c>
      <c r="BF194" s="69" t="s">
        <v>19</v>
      </c>
    </row>
    <row r="195" spans="12:58" x14ac:dyDescent="0.25">
      <c r="L195" s="121" t="s">
        <v>62</v>
      </c>
      <c r="M195" s="69" t="s">
        <v>19</v>
      </c>
      <c r="N195" s="69" t="str">
        <f>VLOOKUP($L$4,'[1]POS_EAD_0112 a 3101_CAMP. REG)'!$F$5:$G$231,2,FALSE)</f>
        <v>Humanas</v>
      </c>
      <c r="O195" s="69">
        <f>VLOOKUP(L195,'[1]POS_EAD_0112 a 3101_CAMP. REG)'!$F$5:$H$231,3,FALSE)</f>
        <v>12</v>
      </c>
      <c r="P195" s="68">
        <f>VLOOKUP(L195,'[1]POS_EAD_0112 a 3101_CAMP. REG)'!$F$5:$I$231,4,FALSE)</f>
        <v>19</v>
      </c>
      <c r="Q195" s="73">
        <f>VLOOKUP(L195,'[1]POS_EAD_0112 a 3101_CAMP. REG)'!$F$5:$J$231,5,FALSE)</f>
        <v>184.28091221052631</v>
      </c>
      <c r="R195" s="124">
        <f>VLOOKUP(L195,'[1]POS_EAD_0112 a 3101_CAMP. REG)'!$F$5:$L$231,7,FALSE)</f>
        <v>0.45</v>
      </c>
      <c r="S195" s="73">
        <f>VLOOKUP(L195,'[1]POS_EAD_0112 a 3101_CAMP. REG)'!$F$5:$M$231,8,FALSE)</f>
        <v>91.22</v>
      </c>
      <c r="T195" s="124">
        <f>VLOOKUP(L195,'[1]POS_EAD_0112 a 3101_CAMP. REG)'!$F$5:$P$231,11,FALSE)</f>
        <v>0.5</v>
      </c>
      <c r="U195" s="73">
        <f>VLOOKUP(L195,'[1]POS_EAD_0112 a 3101_CAMP. REG)'!$F$5:$Q$231,12,FALSE)</f>
        <v>82.93</v>
      </c>
      <c r="W195" s="121" t="s">
        <v>62</v>
      </c>
      <c r="X195" s="69" t="s">
        <v>19</v>
      </c>
      <c r="Y195" s="69" t="str">
        <f>VLOOKUP(W195,'[1]POS_EAD_0112 a 3101_CAMP. REG)'!$F$231:$G$461,2,FALSE)</f>
        <v>Humanas</v>
      </c>
      <c r="Z195" s="68">
        <f>VLOOKUP(W195,'[1]POS_EAD_0112 a 3101_CAMP. REG)'!$F$231:$H$461,3,FALSE)</f>
        <v>12</v>
      </c>
      <c r="AA195" s="68">
        <f>VLOOKUP(W195,'[1]POS_EAD_0112 a 3101_CAMP. REG)'!$F$231:$I$461,4,FALSE)</f>
        <v>19</v>
      </c>
      <c r="AB195" s="73">
        <f>VLOOKUP(W195,'[1]POS_EAD_0112 a 3101_CAMP. REG)'!$F$231:$J$461,5,FALSE)</f>
        <v>207.609666</v>
      </c>
      <c r="AC195" s="72">
        <f>VLOOKUP(W195,'[1]POS_EAD_0112 a 3101_CAMP. REG)'!$F$231:$L$461,7,FALSE)</f>
        <v>0.45</v>
      </c>
      <c r="AD195" s="73">
        <f>VLOOKUP(W195,'[1]POS_EAD_0112 a 3101_CAMP. REG)'!$F$231:$M$461,8,FALSE)</f>
        <v>102.77</v>
      </c>
      <c r="AE195" s="72">
        <f>VLOOKUP(W195,'[1]POS_EAD_0112 a 3101_CAMP. REG)'!$F$231:$P$461,11,FALSE)</f>
        <v>0.5</v>
      </c>
      <c r="AF195" s="73">
        <f>VLOOKUP(W195,'[1]POS_EAD_0112 a 3101_CAMP. REG)'!$F$231:$Q$461,12,FALSE)</f>
        <v>93.42</v>
      </c>
      <c r="AH195" s="121" t="s">
        <v>62</v>
      </c>
      <c r="AI195" s="69" t="s">
        <v>19</v>
      </c>
      <c r="AJ195" s="68" t="str">
        <f>VLOOKUP(UNG[[#This Row],[CURSO]],'[1]POS_EAD_0112 a 3101_CAMP. REG)'!$F$463:$G$688,2,FALSE)</f>
        <v>Humanas</v>
      </c>
      <c r="AK195" s="68">
        <f>VLOOKUP(UNG[[#This Row],[CURSO]],'[1]POS_EAD_0112 a 3101_CAMP. REG)'!$F$463:$H$688,3,FALSE)</f>
        <v>12</v>
      </c>
      <c r="AL195" s="68">
        <f>VLOOKUP(UNG[[#This Row],[CURSO]],'[1]POS_EAD_0112 a 3101_CAMP. REG)'!$F$463:$I$688,4,FALSE)</f>
        <v>19</v>
      </c>
      <c r="AM195" s="71">
        <f>VLOOKUP(UNG[[#This Row],[CURSO]],'[1]POS_EAD_0112 a 3101_CAMP. REG)'!$F$463:$J$688,5,FALSE)</f>
        <v>184.28091221052631</v>
      </c>
      <c r="AN195" s="124">
        <f>VLOOKUP(UNG[[#This Row],[CURSO]],'[1]POS_EAD_0112 a 3101_CAMP. REG)'!$F$463:$L$688,7,FALSE)</f>
        <v>0.45</v>
      </c>
      <c r="AO195" s="71">
        <f>VLOOKUP(UNG[[#This Row],[CURSO]],'[1]POS_EAD_0112 a 3101_CAMP. REG)'!$F$463:$M$688,8,FALSE)</f>
        <v>91.22</v>
      </c>
      <c r="AP195" s="124">
        <f>VLOOKUP(UNG[[#This Row],[CURSO]],'[1]POS_EAD_0112 a 3101_CAMP. REG)'!$F$463:$P$688,11,FALSE)</f>
        <v>0.5</v>
      </c>
      <c r="AQ195" s="71">
        <f>VLOOKUP(UNG[[#This Row],[CURSO]],'[1]POS_EAD_0112 a 3101_CAMP. REG)'!$F$463:$Q$688,12,FALSE)</f>
        <v>82.93</v>
      </c>
      <c r="AS195" s="121" t="s">
        <v>62</v>
      </c>
      <c r="AT195" s="69" t="s">
        <v>19</v>
      </c>
      <c r="AU195" s="69" t="str">
        <f>VLOOKUP(UNINASSAU[[#This Row],[CURSO]],'[1]POS_EAD_0112 a 3101_CAMP. REG)'!$F$690:$G$915,2,FALSE)</f>
        <v>Humanas</v>
      </c>
      <c r="AV195" s="69">
        <f>VLOOKUP(UNINASSAU[[#This Row],[CURSO]],'[1]POS_EAD_0112 a 3101_CAMP. REG)'!$F$690:$H$915,3,FALSE)</f>
        <v>12</v>
      </c>
      <c r="AW195" s="69">
        <f>VLOOKUP(UNINASSAU[[#This Row],[CURSO]],'[1]POS_EAD_0112 a 3101_CAMP. REG)'!$F$690:$I$915,4,FALSE)</f>
        <v>19</v>
      </c>
      <c r="AX195" s="73">
        <f>VLOOKUP(UNINASSAU[[#This Row],[CURSO]],'[1]POS_EAD_0112 a 3101_CAMP. REG)'!$F$690:$J$915,5,FALSE)</f>
        <v>184.28091221052631</v>
      </c>
      <c r="AY195" s="72">
        <f>VLOOKUP(UNINASSAU[[#This Row],[CURSO]],'[1]POS_EAD_0112 a 3101_CAMP. REG)'!$F$690:$L$915,7,FALSE)</f>
        <v>0.45</v>
      </c>
      <c r="AZ195" s="73">
        <f>VLOOKUP(UNINASSAU[[#This Row],[CURSO]],'[1]POS_EAD_0112 a 3101_CAMP. REG)'!$F$690:$N$915,8,FALSE)</f>
        <v>91.22</v>
      </c>
      <c r="BA195" s="72">
        <f>VLOOKUP(UNINASSAU[[#This Row],[CURSO]],'[1]POS_EAD_0112 a 3101_CAMP. REG)'!$F$690:$P$915,11,FALSE)</f>
        <v>0.5</v>
      </c>
      <c r="BB195" s="73">
        <f>VLOOKUP(UNINASSAU[[#This Row],[CURSO]],'[1]POS_EAD_0112 a 3101_CAMP. REG)'!$F$690:$Q$915,12,FALSE)</f>
        <v>82.93</v>
      </c>
      <c r="BD195" s="104">
        <v>192</v>
      </c>
      <c r="BE195" s="121" t="s">
        <v>62</v>
      </c>
      <c r="BF195" s="69" t="s">
        <v>19</v>
      </c>
    </row>
    <row r="196" spans="12:58" x14ac:dyDescent="0.25">
      <c r="L196" s="121" t="s">
        <v>237</v>
      </c>
      <c r="M196" s="69" t="s">
        <v>19</v>
      </c>
      <c r="N196" s="69" t="str">
        <f>VLOOKUP($L$4,'[1]POS_EAD_0112 a 3101_CAMP. REG)'!$F$5:$G$231,2,FALSE)</f>
        <v>Humanas</v>
      </c>
      <c r="O196" s="69">
        <f>VLOOKUP(L196,'[1]POS_EAD_0112 a 3101_CAMP. REG)'!$F$5:$H$231,3,FALSE)</f>
        <v>6</v>
      </c>
      <c r="P196" s="68">
        <f>VLOOKUP(L196,'[1]POS_EAD_0112 a 3101_CAMP. REG)'!$F$5:$I$231,4,FALSE)</f>
        <v>13</v>
      </c>
      <c r="Q196" s="73">
        <f>VLOOKUP(L196,'[1]POS_EAD_0112 a 3101_CAMP. REG)'!$F$5:$J$231,5,FALSE)</f>
        <v>269.33202599999998</v>
      </c>
      <c r="R196" s="124">
        <f>VLOOKUP(L196,'[1]POS_EAD_0112 a 3101_CAMP. REG)'!$F$5:$L$231,7,FALSE)</f>
        <v>0.45</v>
      </c>
      <c r="S196" s="73">
        <f>VLOOKUP(L196,'[1]POS_EAD_0112 a 3101_CAMP. REG)'!$F$5:$M$231,8,FALSE)</f>
        <v>133.32</v>
      </c>
      <c r="T196" s="124">
        <f>VLOOKUP(L196,'[1]POS_EAD_0112 a 3101_CAMP. REG)'!$F$5:$P$231,11,FALSE)</f>
        <v>0.5</v>
      </c>
      <c r="U196" s="73">
        <f>VLOOKUP(L196,'[1]POS_EAD_0112 a 3101_CAMP. REG)'!$F$5:$Q$231,12,FALSE)</f>
        <v>121.2</v>
      </c>
      <c r="W196" s="121" t="s">
        <v>237</v>
      </c>
      <c r="X196" s="69" t="s">
        <v>19</v>
      </c>
      <c r="Y196" s="69" t="str">
        <f>VLOOKUP(W196,'[1]POS_EAD_0112 a 3101_CAMP. REG)'!$F$231:$G$461,2,FALSE)</f>
        <v>Humanas</v>
      </c>
      <c r="Z196" s="68">
        <f>VLOOKUP(W196,'[1]POS_EAD_0112 a 3101_CAMP. REG)'!$F$231:$H$461,3,FALSE)</f>
        <v>6</v>
      </c>
      <c r="AA196" s="68">
        <f>VLOOKUP(W196,'[1]POS_EAD_0112 a 3101_CAMP. REG)'!$F$231:$I$461,4,FALSE)</f>
        <v>13</v>
      </c>
      <c r="AB196" s="73">
        <f>VLOOKUP(W196,'[1]POS_EAD_0112 a 3101_CAMP. REG)'!$F$231:$J$461,5,FALSE)</f>
        <v>303.42628200000001</v>
      </c>
      <c r="AC196" s="72">
        <f>VLOOKUP(W196,'[1]POS_EAD_0112 a 3101_CAMP. REG)'!$F$231:$L$461,7,FALSE)</f>
        <v>0.45</v>
      </c>
      <c r="AD196" s="73">
        <f>VLOOKUP(W196,'[1]POS_EAD_0112 a 3101_CAMP. REG)'!$F$231:$M$461,8,FALSE)</f>
        <v>150.19999999999999</v>
      </c>
      <c r="AE196" s="72">
        <f>VLOOKUP(W196,'[1]POS_EAD_0112 a 3101_CAMP. REG)'!$F$231:$P$461,11,FALSE)</f>
        <v>0.5</v>
      </c>
      <c r="AF196" s="73">
        <f>VLOOKUP(W196,'[1]POS_EAD_0112 a 3101_CAMP. REG)'!$F$231:$Q$461,12,FALSE)</f>
        <v>136.54</v>
      </c>
      <c r="AH196" s="121" t="s">
        <v>237</v>
      </c>
      <c r="AI196" s="69" t="s">
        <v>19</v>
      </c>
      <c r="AJ196" s="68" t="str">
        <f>VLOOKUP(UNG[[#This Row],[CURSO]],'[1]POS_EAD_0112 a 3101_CAMP. REG)'!$F$463:$G$688,2,FALSE)</f>
        <v>Humanas</v>
      </c>
      <c r="AK196" s="68">
        <f>VLOOKUP(UNG[[#This Row],[CURSO]],'[1]POS_EAD_0112 a 3101_CAMP. REG)'!$F$463:$H$688,3,FALSE)</f>
        <v>6</v>
      </c>
      <c r="AL196" s="68">
        <f>VLOOKUP(UNG[[#This Row],[CURSO]],'[1]POS_EAD_0112 a 3101_CAMP. REG)'!$F$463:$I$688,4,FALSE)</f>
        <v>13</v>
      </c>
      <c r="AM196" s="71">
        <f>VLOOKUP(UNG[[#This Row],[CURSO]],'[1]POS_EAD_0112 a 3101_CAMP. REG)'!$F$463:$J$688,5,FALSE)</f>
        <v>269.33202599999998</v>
      </c>
      <c r="AN196" s="124">
        <f>VLOOKUP(UNG[[#This Row],[CURSO]],'[1]POS_EAD_0112 a 3101_CAMP. REG)'!$F$463:$L$688,7,FALSE)</f>
        <v>0.45</v>
      </c>
      <c r="AO196" s="71">
        <f>VLOOKUP(UNG[[#This Row],[CURSO]],'[1]POS_EAD_0112 a 3101_CAMP. REG)'!$F$463:$M$688,8,FALSE)</f>
        <v>133.32</v>
      </c>
      <c r="AP196" s="124">
        <f>VLOOKUP(UNG[[#This Row],[CURSO]],'[1]POS_EAD_0112 a 3101_CAMP. REG)'!$F$463:$P$688,11,FALSE)</f>
        <v>0.5</v>
      </c>
      <c r="AQ196" s="71">
        <f>VLOOKUP(UNG[[#This Row],[CURSO]],'[1]POS_EAD_0112 a 3101_CAMP. REG)'!$F$463:$Q$688,12,FALSE)</f>
        <v>121.2</v>
      </c>
      <c r="AS196" s="121" t="s">
        <v>237</v>
      </c>
      <c r="AT196" s="69" t="s">
        <v>19</v>
      </c>
      <c r="AU196" s="69" t="str">
        <f>VLOOKUP(UNINASSAU[[#This Row],[CURSO]],'[1]POS_EAD_0112 a 3101_CAMP. REG)'!$F$690:$G$915,2,FALSE)</f>
        <v>Humanas</v>
      </c>
      <c r="AV196" s="69">
        <f>VLOOKUP(UNINASSAU[[#This Row],[CURSO]],'[1]POS_EAD_0112 a 3101_CAMP. REG)'!$F$690:$H$915,3,FALSE)</f>
        <v>6</v>
      </c>
      <c r="AW196" s="69">
        <f>VLOOKUP(UNINASSAU[[#This Row],[CURSO]],'[1]POS_EAD_0112 a 3101_CAMP. REG)'!$F$690:$I$915,4,FALSE)</f>
        <v>13</v>
      </c>
      <c r="AX196" s="73">
        <f>VLOOKUP(UNINASSAU[[#This Row],[CURSO]],'[1]POS_EAD_0112 a 3101_CAMP. REG)'!$F$690:$J$915,5,FALSE)</f>
        <v>269.33202599999998</v>
      </c>
      <c r="AY196" s="72">
        <f>VLOOKUP(UNINASSAU[[#This Row],[CURSO]],'[1]POS_EAD_0112 a 3101_CAMP. REG)'!$F$690:$L$915,7,FALSE)</f>
        <v>0.45</v>
      </c>
      <c r="AZ196" s="73">
        <f>VLOOKUP(UNINASSAU[[#This Row],[CURSO]],'[1]POS_EAD_0112 a 3101_CAMP. REG)'!$F$690:$N$915,8,FALSE)</f>
        <v>133.32</v>
      </c>
      <c r="BA196" s="72">
        <f>VLOOKUP(UNINASSAU[[#This Row],[CURSO]],'[1]POS_EAD_0112 a 3101_CAMP. REG)'!$F$690:$P$915,11,FALSE)</f>
        <v>0.5</v>
      </c>
      <c r="BB196" s="73">
        <f>VLOOKUP(UNINASSAU[[#This Row],[CURSO]],'[1]POS_EAD_0112 a 3101_CAMP. REG)'!$F$690:$Q$915,12,FALSE)</f>
        <v>121.2</v>
      </c>
      <c r="BD196" s="104">
        <v>193</v>
      </c>
      <c r="BE196" s="121" t="s">
        <v>237</v>
      </c>
      <c r="BF196" s="69" t="s">
        <v>19</v>
      </c>
    </row>
    <row r="197" spans="12:58" x14ac:dyDescent="0.25">
      <c r="L197" s="121" t="s">
        <v>208</v>
      </c>
      <c r="M197" s="69" t="s">
        <v>19</v>
      </c>
      <c r="N197" s="69" t="str">
        <f>VLOOKUP($L$4,'[1]POS_EAD_0112 a 3101_CAMP. REG)'!$F$5:$G$231,2,FALSE)</f>
        <v>Humanas</v>
      </c>
      <c r="O197" s="69">
        <f>VLOOKUP(L197,'[1]POS_EAD_0112 a 3101_CAMP. REG)'!$F$5:$H$231,3,FALSE)</f>
        <v>6</v>
      </c>
      <c r="P197" s="68">
        <f>VLOOKUP(L197,'[1]POS_EAD_0112 a 3101_CAMP. REG)'!$F$5:$I$231,4,FALSE)</f>
        <v>13</v>
      </c>
      <c r="Q197" s="73">
        <f>VLOOKUP(L197,'[1]POS_EAD_0112 a 3101_CAMP. REG)'!$F$5:$J$231,5,FALSE)</f>
        <v>269.33202599999998</v>
      </c>
      <c r="R197" s="124">
        <f>VLOOKUP(L197,'[1]POS_EAD_0112 a 3101_CAMP. REG)'!$F$5:$L$231,7,FALSE)</f>
        <v>0.45</v>
      </c>
      <c r="S197" s="73">
        <f>VLOOKUP(L197,'[1]POS_EAD_0112 a 3101_CAMP. REG)'!$F$5:$M$231,8,FALSE)</f>
        <v>133.32</v>
      </c>
      <c r="T197" s="124">
        <f>VLOOKUP(L197,'[1]POS_EAD_0112 a 3101_CAMP. REG)'!$F$5:$P$231,11,FALSE)</f>
        <v>0.5</v>
      </c>
      <c r="U197" s="73">
        <f>VLOOKUP(L197,'[1]POS_EAD_0112 a 3101_CAMP. REG)'!$F$5:$Q$231,12,FALSE)</f>
        <v>121.2</v>
      </c>
      <c r="W197" s="121" t="s">
        <v>208</v>
      </c>
      <c r="X197" s="69" t="s">
        <v>19</v>
      </c>
      <c r="Y197" s="69" t="str">
        <f>VLOOKUP(W197,'[1]POS_EAD_0112 a 3101_CAMP. REG)'!$F$231:$G$461,2,FALSE)</f>
        <v>Humanas</v>
      </c>
      <c r="Z197" s="68">
        <f>VLOOKUP(W197,'[1]POS_EAD_0112 a 3101_CAMP. REG)'!$F$231:$H$461,3,FALSE)</f>
        <v>6</v>
      </c>
      <c r="AA197" s="68">
        <f>VLOOKUP(W197,'[1]POS_EAD_0112 a 3101_CAMP. REG)'!$F$231:$I$461,4,FALSE)</f>
        <v>13</v>
      </c>
      <c r="AB197" s="73">
        <f>VLOOKUP(W197,'[1]POS_EAD_0112 a 3101_CAMP. REG)'!$F$231:$J$461,5,FALSE)</f>
        <v>303.42628200000001</v>
      </c>
      <c r="AC197" s="72">
        <f>VLOOKUP(W197,'[1]POS_EAD_0112 a 3101_CAMP. REG)'!$F$231:$L$461,7,FALSE)</f>
        <v>0.45</v>
      </c>
      <c r="AD197" s="73">
        <f>VLOOKUP(W197,'[1]POS_EAD_0112 a 3101_CAMP. REG)'!$F$231:$M$461,8,FALSE)</f>
        <v>150.19999999999999</v>
      </c>
      <c r="AE197" s="72">
        <f>VLOOKUP(W197,'[1]POS_EAD_0112 a 3101_CAMP. REG)'!$F$231:$P$461,11,FALSE)</f>
        <v>0.5</v>
      </c>
      <c r="AF197" s="73">
        <f>VLOOKUP(W197,'[1]POS_EAD_0112 a 3101_CAMP. REG)'!$F$231:$Q$461,12,FALSE)</f>
        <v>136.54</v>
      </c>
      <c r="AH197" s="121" t="s">
        <v>208</v>
      </c>
      <c r="AI197" s="69" t="s">
        <v>19</v>
      </c>
      <c r="AJ197" s="68" t="str">
        <f>VLOOKUP(UNG[[#This Row],[CURSO]],'[1]POS_EAD_0112 a 3101_CAMP. REG)'!$F$463:$G$688,2,FALSE)</f>
        <v>Humanas</v>
      </c>
      <c r="AK197" s="68">
        <f>VLOOKUP(UNG[[#This Row],[CURSO]],'[1]POS_EAD_0112 a 3101_CAMP. REG)'!$F$463:$H$688,3,FALSE)</f>
        <v>6</v>
      </c>
      <c r="AL197" s="68">
        <f>VLOOKUP(UNG[[#This Row],[CURSO]],'[1]POS_EAD_0112 a 3101_CAMP. REG)'!$F$463:$I$688,4,FALSE)</f>
        <v>13</v>
      </c>
      <c r="AM197" s="71">
        <f>VLOOKUP(UNG[[#This Row],[CURSO]],'[1]POS_EAD_0112 a 3101_CAMP. REG)'!$F$463:$J$688,5,FALSE)</f>
        <v>269.33202599999998</v>
      </c>
      <c r="AN197" s="124">
        <f>VLOOKUP(UNG[[#This Row],[CURSO]],'[1]POS_EAD_0112 a 3101_CAMP. REG)'!$F$463:$L$688,7,FALSE)</f>
        <v>0.45</v>
      </c>
      <c r="AO197" s="71">
        <f>VLOOKUP(UNG[[#This Row],[CURSO]],'[1]POS_EAD_0112 a 3101_CAMP. REG)'!$F$463:$M$688,8,FALSE)</f>
        <v>133.32</v>
      </c>
      <c r="AP197" s="124">
        <f>VLOOKUP(UNG[[#This Row],[CURSO]],'[1]POS_EAD_0112 a 3101_CAMP. REG)'!$F$463:$P$688,11,FALSE)</f>
        <v>0.5</v>
      </c>
      <c r="AQ197" s="71">
        <f>VLOOKUP(UNG[[#This Row],[CURSO]],'[1]POS_EAD_0112 a 3101_CAMP. REG)'!$F$463:$Q$688,12,FALSE)</f>
        <v>121.2</v>
      </c>
      <c r="AS197" s="121" t="s">
        <v>208</v>
      </c>
      <c r="AT197" s="69" t="s">
        <v>19</v>
      </c>
      <c r="AU197" s="69" t="str">
        <f>VLOOKUP(UNINASSAU[[#This Row],[CURSO]],'[1]POS_EAD_0112 a 3101_CAMP. REG)'!$F$690:$G$915,2,FALSE)</f>
        <v>Humanas</v>
      </c>
      <c r="AV197" s="69">
        <f>VLOOKUP(UNINASSAU[[#This Row],[CURSO]],'[1]POS_EAD_0112 a 3101_CAMP. REG)'!$F$690:$H$915,3,FALSE)</f>
        <v>6</v>
      </c>
      <c r="AW197" s="69">
        <f>VLOOKUP(UNINASSAU[[#This Row],[CURSO]],'[1]POS_EAD_0112 a 3101_CAMP. REG)'!$F$690:$I$915,4,FALSE)</f>
        <v>13</v>
      </c>
      <c r="AX197" s="73">
        <f>VLOOKUP(UNINASSAU[[#This Row],[CURSO]],'[1]POS_EAD_0112 a 3101_CAMP. REG)'!$F$690:$J$915,5,FALSE)</f>
        <v>269.33202599999998</v>
      </c>
      <c r="AY197" s="72">
        <f>VLOOKUP(UNINASSAU[[#This Row],[CURSO]],'[1]POS_EAD_0112 a 3101_CAMP. REG)'!$F$690:$L$915,7,FALSE)</f>
        <v>0.45</v>
      </c>
      <c r="AZ197" s="73">
        <f>VLOOKUP(UNINASSAU[[#This Row],[CURSO]],'[1]POS_EAD_0112 a 3101_CAMP. REG)'!$F$690:$N$915,8,FALSE)</f>
        <v>133.32</v>
      </c>
      <c r="BA197" s="72">
        <f>VLOOKUP(UNINASSAU[[#This Row],[CURSO]],'[1]POS_EAD_0112 a 3101_CAMP. REG)'!$F$690:$P$915,11,FALSE)</f>
        <v>0.5</v>
      </c>
      <c r="BB197" s="73">
        <f>VLOOKUP(UNINASSAU[[#This Row],[CURSO]],'[1]POS_EAD_0112 a 3101_CAMP. REG)'!$F$690:$Q$915,12,FALSE)</f>
        <v>121.2</v>
      </c>
      <c r="BD197" s="104">
        <v>194</v>
      </c>
      <c r="BE197" s="121" t="s">
        <v>208</v>
      </c>
      <c r="BF197" s="69" t="s">
        <v>19</v>
      </c>
    </row>
    <row r="198" spans="12:58" x14ac:dyDescent="0.25">
      <c r="L198" s="121" t="s">
        <v>107</v>
      </c>
      <c r="M198" s="69" t="s">
        <v>19</v>
      </c>
      <c r="N198" s="69" t="str">
        <f>VLOOKUP($L$4,'[1]POS_EAD_0112 a 3101_CAMP. REG)'!$F$5:$G$231,2,FALSE)</f>
        <v>Humanas</v>
      </c>
      <c r="O198" s="69">
        <f>VLOOKUP(L198,'[1]POS_EAD_0112 a 3101_CAMP. REG)'!$F$5:$H$231,3,FALSE)</f>
        <v>6</v>
      </c>
      <c r="P198" s="68">
        <f>VLOOKUP(L198,'[1]POS_EAD_0112 a 3101_CAMP. REG)'!$F$5:$I$231,4,FALSE)</f>
        <v>13</v>
      </c>
      <c r="Q198" s="73">
        <f>VLOOKUP(L198,'[1]POS_EAD_0112 a 3101_CAMP. REG)'!$F$5:$J$231,5,FALSE)</f>
        <v>405.70905000000005</v>
      </c>
      <c r="R198" s="124">
        <f>VLOOKUP(L198,'[1]POS_EAD_0112 a 3101_CAMP. REG)'!$F$5:$L$231,7,FALSE)</f>
        <v>0.45</v>
      </c>
      <c r="S198" s="73">
        <f>VLOOKUP(L198,'[1]POS_EAD_0112 a 3101_CAMP. REG)'!$F$5:$M$231,8,FALSE)</f>
        <v>200.83</v>
      </c>
      <c r="T198" s="124">
        <f>VLOOKUP(L198,'[1]POS_EAD_0112 a 3101_CAMP. REG)'!$F$5:$P$231,11,FALSE)</f>
        <v>0.5</v>
      </c>
      <c r="U198" s="73">
        <f>VLOOKUP(L198,'[1]POS_EAD_0112 a 3101_CAMP. REG)'!$F$5:$Q$231,12,FALSE)</f>
        <v>182.57</v>
      </c>
      <c r="W198" s="121" t="s">
        <v>107</v>
      </c>
      <c r="X198" s="69" t="s">
        <v>19</v>
      </c>
      <c r="Y198" s="69" t="str">
        <f>VLOOKUP(W198,'[1]POS_EAD_0112 a 3101_CAMP. REG)'!$F$231:$G$461,2,FALSE)</f>
        <v>Saúde</v>
      </c>
      <c r="Z198" s="68">
        <f>VLOOKUP(W198,'[1]POS_EAD_0112 a 3101_CAMP. REG)'!$F$231:$H$461,3,FALSE)</f>
        <v>6</v>
      </c>
      <c r="AA198" s="68">
        <f>VLOOKUP(W198,'[1]POS_EAD_0112 a 3101_CAMP. REG)'!$F$231:$I$461,4,FALSE)</f>
        <v>13</v>
      </c>
      <c r="AB198" s="73">
        <f>VLOOKUP(W198,'[1]POS_EAD_0112 a 3101_CAMP. REG)'!$F$231:$J$461,5,FALSE)</f>
        <v>439.79280900000003</v>
      </c>
      <c r="AC198" s="72">
        <f>VLOOKUP(W198,'[1]POS_EAD_0112 a 3101_CAMP. REG)'!$F$231:$L$461,7,FALSE)</f>
        <v>0.45</v>
      </c>
      <c r="AD198" s="73">
        <f>VLOOKUP(W198,'[1]POS_EAD_0112 a 3101_CAMP. REG)'!$F$231:$M$461,8,FALSE)</f>
        <v>217.7</v>
      </c>
      <c r="AE198" s="72">
        <f>VLOOKUP(W198,'[1]POS_EAD_0112 a 3101_CAMP. REG)'!$F$231:$P$461,11,FALSE)</f>
        <v>0.5</v>
      </c>
      <c r="AF198" s="73">
        <f>VLOOKUP(W198,'[1]POS_EAD_0112 a 3101_CAMP. REG)'!$F$231:$Q$461,12,FALSE)</f>
        <v>197.91</v>
      </c>
      <c r="AH198" s="121" t="s">
        <v>107</v>
      </c>
      <c r="AI198" s="69" t="s">
        <v>19</v>
      </c>
      <c r="AJ198" s="68" t="str">
        <f>VLOOKUP(UNG[[#This Row],[CURSO]],'[1]POS_EAD_0112 a 3101_CAMP. REG)'!$F$463:$G$688,2,FALSE)</f>
        <v>Saúde</v>
      </c>
      <c r="AK198" s="68">
        <f>VLOOKUP(UNG[[#This Row],[CURSO]],'[1]POS_EAD_0112 a 3101_CAMP. REG)'!$F$463:$H$688,3,FALSE)</f>
        <v>6</v>
      </c>
      <c r="AL198" s="68">
        <f>VLOOKUP(UNG[[#This Row],[CURSO]],'[1]POS_EAD_0112 a 3101_CAMP. REG)'!$F$463:$I$688,4,FALSE)</f>
        <v>13</v>
      </c>
      <c r="AM198" s="71">
        <f>VLOOKUP(UNG[[#This Row],[CURSO]],'[1]POS_EAD_0112 a 3101_CAMP. REG)'!$F$463:$J$688,5,FALSE)</f>
        <v>405.70905000000005</v>
      </c>
      <c r="AN198" s="124">
        <f>VLOOKUP(UNG[[#This Row],[CURSO]],'[1]POS_EAD_0112 a 3101_CAMP. REG)'!$F$463:$L$688,7,FALSE)</f>
        <v>0.45</v>
      </c>
      <c r="AO198" s="71">
        <f>VLOOKUP(UNG[[#This Row],[CURSO]],'[1]POS_EAD_0112 a 3101_CAMP. REG)'!$F$463:$M$688,8,FALSE)</f>
        <v>200.83</v>
      </c>
      <c r="AP198" s="124">
        <f>VLOOKUP(UNG[[#This Row],[CURSO]],'[1]POS_EAD_0112 a 3101_CAMP. REG)'!$F$463:$P$688,11,FALSE)</f>
        <v>0.5</v>
      </c>
      <c r="AQ198" s="71">
        <f>VLOOKUP(UNG[[#This Row],[CURSO]],'[1]POS_EAD_0112 a 3101_CAMP. REG)'!$F$463:$Q$688,12,FALSE)</f>
        <v>182.57</v>
      </c>
      <c r="AS198" s="121" t="s">
        <v>107</v>
      </c>
      <c r="AT198" s="69" t="s">
        <v>19</v>
      </c>
      <c r="AU198" s="69" t="str">
        <f>VLOOKUP(UNINASSAU[[#This Row],[CURSO]],'[1]POS_EAD_0112 a 3101_CAMP. REG)'!$F$690:$G$915,2,FALSE)</f>
        <v>Saúde</v>
      </c>
      <c r="AV198" s="69">
        <f>VLOOKUP(UNINASSAU[[#This Row],[CURSO]],'[1]POS_EAD_0112 a 3101_CAMP. REG)'!$F$690:$H$915,3,FALSE)</f>
        <v>6</v>
      </c>
      <c r="AW198" s="69">
        <f>VLOOKUP(UNINASSAU[[#This Row],[CURSO]],'[1]POS_EAD_0112 a 3101_CAMP. REG)'!$F$690:$I$915,4,FALSE)</f>
        <v>13</v>
      </c>
      <c r="AX198" s="73">
        <f>VLOOKUP(UNINASSAU[[#This Row],[CURSO]],'[1]POS_EAD_0112 a 3101_CAMP. REG)'!$F$690:$J$915,5,FALSE)</f>
        <v>405.70905000000005</v>
      </c>
      <c r="AY198" s="72">
        <f>VLOOKUP(UNINASSAU[[#This Row],[CURSO]],'[1]POS_EAD_0112 a 3101_CAMP. REG)'!$F$690:$L$915,7,FALSE)</f>
        <v>0.45</v>
      </c>
      <c r="AZ198" s="73">
        <f>VLOOKUP(UNINASSAU[[#This Row],[CURSO]],'[1]POS_EAD_0112 a 3101_CAMP. REG)'!$F$690:$N$915,8,FALSE)</f>
        <v>200.83</v>
      </c>
      <c r="BA198" s="72">
        <f>VLOOKUP(UNINASSAU[[#This Row],[CURSO]],'[1]POS_EAD_0112 a 3101_CAMP. REG)'!$F$690:$P$915,11,FALSE)</f>
        <v>0.5</v>
      </c>
      <c r="BB198" s="73">
        <f>VLOOKUP(UNINASSAU[[#This Row],[CURSO]],'[1]POS_EAD_0112 a 3101_CAMP. REG)'!$F$690:$Q$915,12,FALSE)</f>
        <v>182.57</v>
      </c>
      <c r="BD198" s="104">
        <v>195</v>
      </c>
      <c r="BE198" s="121" t="s">
        <v>107</v>
      </c>
      <c r="BF198" s="69" t="s">
        <v>19</v>
      </c>
    </row>
    <row r="199" spans="12:58" x14ac:dyDescent="0.25">
      <c r="L199" s="121" t="s">
        <v>101</v>
      </c>
      <c r="M199" s="69" t="s">
        <v>19</v>
      </c>
      <c r="N199" s="69" t="str">
        <f>VLOOKUP($L$4,'[1]POS_EAD_0112 a 3101_CAMP. REG)'!$F$5:$G$231,2,FALSE)</f>
        <v>Humanas</v>
      </c>
      <c r="O199" s="69">
        <f>VLOOKUP(L199,'[1]POS_EAD_0112 a 3101_CAMP. REG)'!$F$5:$H$231,3,FALSE)</f>
        <v>6</v>
      </c>
      <c r="P199" s="68">
        <f>VLOOKUP(L199,'[1]POS_EAD_0112 a 3101_CAMP. REG)'!$F$5:$I$231,4,FALSE)</f>
        <v>13</v>
      </c>
      <c r="Q199" s="73">
        <f>VLOOKUP(L199,'[1]POS_EAD_0112 a 3101_CAMP. REG)'!$F$5:$J$231,5,FALSE)</f>
        <v>405.70905000000005</v>
      </c>
      <c r="R199" s="124">
        <f>VLOOKUP(L199,'[1]POS_EAD_0112 a 3101_CAMP. REG)'!$F$5:$L$231,7,FALSE)</f>
        <v>0.45</v>
      </c>
      <c r="S199" s="73">
        <f>VLOOKUP(L199,'[1]POS_EAD_0112 a 3101_CAMP. REG)'!$F$5:$M$231,8,FALSE)</f>
        <v>200.83</v>
      </c>
      <c r="T199" s="124">
        <f>VLOOKUP(L199,'[1]POS_EAD_0112 a 3101_CAMP. REG)'!$F$5:$P$231,11,FALSE)</f>
        <v>0.5</v>
      </c>
      <c r="U199" s="73">
        <f>VLOOKUP(L199,'[1]POS_EAD_0112 a 3101_CAMP. REG)'!$F$5:$Q$231,12,FALSE)</f>
        <v>182.57</v>
      </c>
      <c r="W199" s="121" t="s">
        <v>101</v>
      </c>
      <c r="X199" s="69" t="s">
        <v>19</v>
      </c>
      <c r="Y199" s="69" t="str">
        <f>VLOOKUP(W199,'[1]POS_EAD_0112 a 3101_CAMP. REG)'!$F$231:$G$461,2,FALSE)</f>
        <v>Saúde</v>
      </c>
      <c r="Z199" s="68">
        <f>VLOOKUP(W199,'[1]POS_EAD_0112 a 3101_CAMP. REG)'!$F$231:$H$461,3,FALSE)</f>
        <v>6</v>
      </c>
      <c r="AA199" s="68">
        <f>VLOOKUP(W199,'[1]POS_EAD_0112 a 3101_CAMP. REG)'!$F$231:$I$461,4,FALSE)</f>
        <v>13</v>
      </c>
      <c r="AB199" s="73">
        <f>VLOOKUP(W199,'[1]POS_EAD_0112 a 3101_CAMP. REG)'!$F$231:$J$461,5,FALSE)</f>
        <v>439.79280900000003</v>
      </c>
      <c r="AC199" s="72">
        <f>VLOOKUP(W199,'[1]POS_EAD_0112 a 3101_CAMP. REG)'!$F$231:$L$461,7,FALSE)</f>
        <v>0.45</v>
      </c>
      <c r="AD199" s="73">
        <f>VLOOKUP(W199,'[1]POS_EAD_0112 a 3101_CAMP. REG)'!$F$231:$M$461,8,FALSE)</f>
        <v>217.7</v>
      </c>
      <c r="AE199" s="72">
        <f>VLOOKUP(W199,'[1]POS_EAD_0112 a 3101_CAMP. REG)'!$F$231:$P$461,11,FALSE)</f>
        <v>0.5</v>
      </c>
      <c r="AF199" s="73">
        <f>VLOOKUP(W199,'[1]POS_EAD_0112 a 3101_CAMP. REG)'!$F$231:$Q$461,12,FALSE)</f>
        <v>197.91</v>
      </c>
      <c r="AH199" s="121" t="s">
        <v>101</v>
      </c>
      <c r="AI199" s="69" t="s">
        <v>19</v>
      </c>
      <c r="AJ199" s="68" t="str">
        <f>VLOOKUP(UNG[[#This Row],[CURSO]],'[1]POS_EAD_0112 a 3101_CAMP. REG)'!$F$463:$G$688,2,FALSE)</f>
        <v>Saúde</v>
      </c>
      <c r="AK199" s="68">
        <f>VLOOKUP(UNG[[#This Row],[CURSO]],'[1]POS_EAD_0112 a 3101_CAMP. REG)'!$F$463:$H$688,3,FALSE)</f>
        <v>6</v>
      </c>
      <c r="AL199" s="68">
        <f>VLOOKUP(UNG[[#This Row],[CURSO]],'[1]POS_EAD_0112 a 3101_CAMP. REG)'!$F$463:$I$688,4,FALSE)</f>
        <v>13</v>
      </c>
      <c r="AM199" s="71">
        <f>VLOOKUP(UNG[[#This Row],[CURSO]],'[1]POS_EAD_0112 a 3101_CAMP. REG)'!$F$463:$J$688,5,FALSE)</f>
        <v>405.70905000000005</v>
      </c>
      <c r="AN199" s="124">
        <f>VLOOKUP(UNG[[#This Row],[CURSO]],'[1]POS_EAD_0112 a 3101_CAMP. REG)'!$F$463:$L$688,7,FALSE)</f>
        <v>0.45</v>
      </c>
      <c r="AO199" s="71">
        <f>VLOOKUP(UNG[[#This Row],[CURSO]],'[1]POS_EAD_0112 a 3101_CAMP. REG)'!$F$463:$M$688,8,FALSE)</f>
        <v>200.83</v>
      </c>
      <c r="AP199" s="124">
        <f>VLOOKUP(UNG[[#This Row],[CURSO]],'[1]POS_EAD_0112 a 3101_CAMP. REG)'!$F$463:$P$688,11,FALSE)</f>
        <v>0.5</v>
      </c>
      <c r="AQ199" s="71">
        <f>VLOOKUP(UNG[[#This Row],[CURSO]],'[1]POS_EAD_0112 a 3101_CAMP. REG)'!$F$463:$Q$688,12,FALSE)</f>
        <v>182.57</v>
      </c>
      <c r="AS199" s="121" t="s">
        <v>101</v>
      </c>
      <c r="AT199" s="69" t="s">
        <v>19</v>
      </c>
      <c r="AU199" s="69" t="str">
        <f>VLOOKUP(UNINASSAU[[#This Row],[CURSO]],'[1]POS_EAD_0112 a 3101_CAMP. REG)'!$F$690:$G$915,2,FALSE)</f>
        <v>Saúde</v>
      </c>
      <c r="AV199" s="69">
        <f>VLOOKUP(UNINASSAU[[#This Row],[CURSO]],'[1]POS_EAD_0112 a 3101_CAMP. REG)'!$F$690:$H$915,3,FALSE)</f>
        <v>6</v>
      </c>
      <c r="AW199" s="69">
        <f>VLOOKUP(UNINASSAU[[#This Row],[CURSO]],'[1]POS_EAD_0112 a 3101_CAMP. REG)'!$F$690:$I$915,4,FALSE)</f>
        <v>13</v>
      </c>
      <c r="AX199" s="73">
        <f>VLOOKUP(UNINASSAU[[#This Row],[CURSO]],'[1]POS_EAD_0112 a 3101_CAMP. REG)'!$F$690:$J$915,5,FALSE)</f>
        <v>405.70905000000005</v>
      </c>
      <c r="AY199" s="72">
        <f>VLOOKUP(UNINASSAU[[#This Row],[CURSO]],'[1]POS_EAD_0112 a 3101_CAMP. REG)'!$F$690:$L$915,7,FALSE)</f>
        <v>0.45</v>
      </c>
      <c r="AZ199" s="73">
        <f>VLOOKUP(UNINASSAU[[#This Row],[CURSO]],'[1]POS_EAD_0112 a 3101_CAMP. REG)'!$F$690:$N$915,8,FALSE)</f>
        <v>200.83</v>
      </c>
      <c r="BA199" s="72">
        <f>VLOOKUP(UNINASSAU[[#This Row],[CURSO]],'[1]POS_EAD_0112 a 3101_CAMP. REG)'!$F$690:$P$915,11,FALSE)</f>
        <v>0.5</v>
      </c>
      <c r="BB199" s="73">
        <f>VLOOKUP(UNINASSAU[[#This Row],[CURSO]],'[1]POS_EAD_0112 a 3101_CAMP. REG)'!$F$690:$Q$915,12,FALSE)</f>
        <v>182.57</v>
      </c>
      <c r="BD199" s="104">
        <v>196</v>
      </c>
      <c r="BE199" s="121" t="s">
        <v>101</v>
      </c>
      <c r="BF199" s="69" t="s">
        <v>19</v>
      </c>
    </row>
    <row r="200" spans="12:58" x14ac:dyDescent="0.25">
      <c r="L200" s="121" t="s">
        <v>212</v>
      </c>
      <c r="M200" s="69" t="s">
        <v>19</v>
      </c>
      <c r="N200" s="69" t="str">
        <f>VLOOKUP($L$4,'[1]POS_EAD_0112 a 3101_CAMP. REG)'!$F$5:$G$231,2,FALSE)</f>
        <v>Humanas</v>
      </c>
      <c r="O200" s="69">
        <f>VLOOKUP(L200,'[1]POS_EAD_0112 a 3101_CAMP. REG)'!$F$5:$H$231,3,FALSE)</f>
        <v>6</v>
      </c>
      <c r="P200" s="68">
        <f>VLOOKUP(L200,'[1]POS_EAD_0112 a 3101_CAMP. REG)'!$F$5:$I$231,4,FALSE)</f>
        <v>13</v>
      </c>
      <c r="Q200" s="73">
        <f>VLOOKUP(L200,'[1]POS_EAD_0112 a 3101_CAMP. REG)'!$F$5:$J$231,5,FALSE)</f>
        <v>269.33202599999998</v>
      </c>
      <c r="R200" s="124">
        <f>VLOOKUP(L200,'[1]POS_EAD_0112 a 3101_CAMP. REG)'!$F$5:$L$231,7,FALSE)</f>
        <v>0.45</v>
      </c>
      <c r="S200" s="73">
        <f>VLOOKUP(L200,'[1]POS_EAD_0112 a 3101_CAMP. REG)'!$F$5:$M$231,8,FALSE)</f>
        <v>133.32</v>
      </c>
      <c r="T200" s="124">
        <f>VLOOKUP(L200,'[1]POS_EAD_0112 a 3101_CAMP. REG)'!$F$5:$P$231,11,FALSE)</f>
        <v>0.5</v>
      </c>
      <c r="U200" s="73">
        <f>VLOOKUP(L200,'[1]POS_EAD_0112 a 3101_CAMP. REG)'!$F$5:$Q$231,12,FALSE)</f>
        <v>121.2</v>
      </c>
      <c r="W200" s="121" t="s">
        <v>212</v>
      </c>
      <c r="X200" s="69" t="s">
        <v>19</v>
      </c>
      <c r="Y200" s="69" t="str">
        <f>VLOOKUP(W200,'[1]POS_EAD_0112 a 3101_CAMP. REG)'!$F$231:$G$461,2,FALSE)</f>
        <v>Humanas</v>
      </c>
      <c r="Z200" s="68">
        <f>VLOOKUP(W200,'[1]POS_EAD_0112 a 3101_CAMP. REG)'!$F$231:$H$461,3,FALSE)</f>
        <v>6</v>
      </c>
      <c r="AA200" s="68">
        <f>VLOOKUP(W200,'[1]POS_EAD_0112 a 3101_CAMP. REG)'!$F$231:$I$461,4,FALSE)</f>
        <v>13</v>
      </c>
      <c r="AB200" s="73">
        <f>VLOOKUP(W200,'[1]POS_EAD_0112 a 3101_CAMP. REG)'!$F$231:$J$461,5,FALSE)</f>
        <v>303.42628200000001</v>
      </c>
      <c r="AC200" s="72">
        <f>VLOOKUP(W200,'[1]POS_EAD_0112 a 3101_CAMP. REG)'!$F$231:$L$461,7,FALSE)</f>
        <v>0.45</v>
      </c>
      <c r="AD200" s="73">
        <f>VLOOKUP(W200,'[1]POS_EAD_0112 a 3101_CAMP. REG)'!$F$231:$M$461,8,FALSE)</f>
        <v>150.19999999999999</v>
      </c>
      <c r="AE200" s="72">
        <f>VLOOKUP(W200,'[1]POS_EAD_0112 a 3101_CAMP. REG)'!$F$231:$P$461,11,FALSE)</f>
        <v>0.5</v>
      </c>
      <c r="AF200" s="73">
        <f>VLOOKUP(W200,'[1]POS_EAD_0112 a 3101_CAMP. REG)'!$F$231:$Q$461,12,FALSE)</f>
        <v>136.54</v>
      </c>
      <c r="AH200" s="121" t="s">
        <v>212</v>
      </c>
      <c r="AI200" s="69" t="s">
        <v>19</v>
      </c>
      <c r="AJ200" s="68" t="str">
        <f>VLOOKUP(UNG[[#This Row],[CURSO]],'[1]POS_EAD_0112 a 3101_CAMP. REG)'!$F$463:$G$688,2,FALSE)</f>
        <v>Humanas</v>
      </c>
      <c r="AK200" s="68">
        <f>VLOOKUP(UNG[[#This Row],[CURSO]],'[1]POS_EAD_0112 a 3101_CAMP. REG)'!$F$463:$H$688,3,FALSE)</f>
        <v>6</v>
      </c>
      <c r="AL200" s="68">
        <f>VLOOKUP(UNG[[#This Row],[CURSO]],'[1]POS_EAD_0112 a 3101_CAMP. REG)'!$F$463:$I$688,4,FALSE)</f>
        <v>13</v>
      </c>
      <c r="AM200" s="71">
        <f>VLOOKUP(UNG[[#This Row],[CURSO]],'[1]POS_EAD_0112 a 3101_CAMP. REG)'!$F$463:$J$688,5,FALSE)</f>
        <v>269.33202599999998</v>
      </c>
      <c r="AN200" s="124">
        <f>VLOOKUP(UNG[[#This Row],[CURSO]],'[1]POS_EAD_0112 a 3101_CAMP. REG)'!$F$463:$L$688,7,FALSE)</f>
        <v>0.45</v>
      </c>
      <c r="AO200" s="71">
        <f>VLOOKUP(UNG[[#This Row],[CURSO]],'[1]POS_EAD_0112 a 3101_CAMP. REG)'!$F$463:$M$688,8,FALSE)</f>
        <v>133.32</v>
      </c>
      <c r="AP200" s="124">
        <f>VLOOKUP(UNG[[#This Row],[CURSO]],'[1]POS_EAD_0112 a 3101_CAMP. REG)'!$F$463:$P$688,11,FALSE)</f>
        <v>0.5</v>
      </c>
      <c r="AQ200" s="71">
        <f>VLOOKUP(UNG[[#This Row],[CURSO]],'[1]POS_EAD_0112 a 3101_CAMP. REG)'!$F$463:$Q$688,12,FALSE)</f>
        <v>121.2</v>
      </c>
      <c r="AS200" s="121" t="s">
        <v>212</v>
      </c>
      <c r="AT200" s="69" t="s">
        <v>19</v>
      </c>
      <c r="AU200" s="69" t="str">
        <f>VLOOKUP(UNINASSAU[[#This Row],[CURSO]],'[1]POS_EAD_0112 a 3101_CAMP. REG)'!$F$690:$G$915,2,FALSE)</f>
        <v>Humanas</v>
      </c>
      <c r="AV200" s="69">
        <f>VLOOKUP(UNINASSAU[[#This Row],[CURSO]],'[1]POS_EAD_0112 a 3101_CAMP. REG)'!$F$690:$H$915,3,FALSE)</f>
        <v>6</v>
      </c>
      <c r="AW200" s="69">
        <f>VLOOKUP(UNINASSAU[[#This Row],[CURSO]],'[1]POS_EAD_0112 a 3101_CAMP. REG)'!$F$690:$I$915,4,FALSE)</f>
        <v>13</v>
      </c>
      <c r="AX200" s="73">
        <f>VLOOKUP(UNINASSAU[[#This Row],[CURSO]],'[1]POS_EAD_0112 a 3101_CAMP. REG)'!$F$690:$J$915,5,FALSE)</f>
        <v>269.33202599999998</v>
      </c>
      <c r="AY200" s="72">
        <f>VLOOKUP(UNINASSAU[[#This Row],[CURSO]],'[1]POS_EAD_0112 a 3101_CAMP. REG)'!$F$690:$L$915,7,FALSE)</f>
        <v>0.45</v>
      </c>
      <c r="AZ200" s="73">
        <f>VLOOKUP(UNINASSAU[[#This Row],[CURSO]],'[1]POS_EAD_0112 a 3101_CAMP. REG)'!$F$690:$N$915,8,FALSE)</f>
        <v>133.32</v>
      </c>
      <c r="BA200" s="72">
        <f>VLOOKUP(UNINASSAU[[#This Row],[CURSO]],'[1]POS_EAD_0112 a 3101_CAMP. REG)'!$F$690:$P$915,11,FALSE)</f>
        <v>0.5</v>
      </c>
      <c r="BB200" s="73">
        <f>VLOOKUP(UNINASSAU[[#This Row],[CURSO]],'[1]POS_EAD_0112 a 3101_CAMP. REG)'!$F$690:$Q$915,12,FALSE)</f>
        <v>121.2</v>
      </c>
      <c r="BD200" s="104">
        <v>197</v>
      </c>
      <c r="BE200" s="121" t="s">
        <v>212</v>
      </c>
      <c r="BF200" s="69" t="s">
        <v>19</v>
      </c>
    </row>
    <row r="201" spans="12:58" x14ac:dyDescent="0.25">
      <c r="L201" s="121" t="s">
        <v>247</v>
      </c>
      <c r="M201" s="69" t="s">
        <v>19</v>
      </c>
      <c r="N201" s="69" t="str">
        <f>VLOOKUP($L$4,'[1]POS_EAD_0112 a 3101_CAMP. REG)'!$F$5:$G$231,2,FALSE)</f>
        <v>Humanas</v>
      </c>
      <c r="O201" s="69">
        <f>VLOOKUP(L201,'[1]POS_EAD_0112 a 3101_CAMP. REG)'!$F$5:$H$231,3,FALSE)</f>
        <v>6</v>
      </c>
      <c r="P201" s="68">
        <f>VLOOKUP(L201,'[1]POS_EAD_0112 a 3101_CAMP. REG)'!$F$5:$I$231,4,FALSE)</f>
        <v>13</v>
      </c>
      <c r="Q201" s="73">
        <f>VLOOKUP(L201,'[1]POS_EAD_0112 a 3101_CAMP. REG)'!$F$5:$J$231,5,FALSE)</f>
        <v>269.33202599999998</v>
      </c>
      <c r="R201" s="124">
        <f>VLOOKUP(L201,'[1]POS_EAD_0112 a 3101_CAMP. REG)'!$F$5:$L$231,7,FALSE)</f>
        <v>0.45</v>
      </c>
      <c r="S201" s="73">
        <f>VLOOKUP(L201,'[1]POS_EAD_0112 a 3101_CAMP. REG)'!$F$5:$M$231,8,FALSE)</f>
        <v>133.32</v>
      </c>
      <c r="T201" s="124">
        <f>VLOOKUP(L201,'[1]POS_EAD_0112 a 3101_CAMP. REG)'!$F$5:$P$231,11,FALSE)</f>
        <v>0.5</v>
      </c>
      <c r="U201" s="73">
        <f>VLOOKUP(L201,'[1]POS_EAD_0112 a 3101_CAMP. REG)'!$F$5:$Q$231,12,FALSE)</f>
        <v>121.2</v>
      </c>
      <c r="W201" s="121" t="s">
        <v>247</v>
      </c>
      <c r="X201" s="69" t="s">
        <v>19</v>
      </c>
      <c r="Y201" s="69" t="str">
        <f>VLOOKUP(W201,'[1]POS_EAD_0112 a 3101_CAMP. REG)'!$F$231:$G$461,2,FALSE)</f>
        <v>Humanas</v>
      </c>
      <c r="Z201" s="68">
        <f>VLOOKUP(W201,'[1]POS_EAD_0112 a 3101_CAMP. REG)'!$F$231:$H$461,3,FALSE)</f>
        <v>6</v>
      </c>
      <c r="AA201" s="68">
        <f>VLOOKUP(W201,'[1]POS_EAD_0112 a 3101_CAMP. REG)'!$F$231:$I$461,4,FALSE)</f>
        <v>13</v>
      </c>
      <c r="AB201" s="73">
        <f>VLOOKUP(W201,'[1]POS_EAD_0112 a 3101_CAMP. REG)'!$F$231:$J$461,5,FALSE)</f>
        <v>303.42628200000001</v>
      </c>
      <c r="AC201" s="72">
        <f>VLOOKUP(W201,'[1]POS_EAD_0112 a 3101_CAMP. REG)'!$F$231:$L$461,7,FALSE)</f>
        <v>0.45</v>
      </c>
      <c r="AD201" s="73">
        <f>VLOOKUP(W201,'[1]POS_EAD_0112 a 3101_CAMP. REG)'!$F$231:$M$461,8,FALSE)</f>
        <v>150.19999999999999</v>
      </c>
      <c r="AE201" s="72">
        <f>VLOOKUP(W201,'[1]POS_EAD_0112 a 3101_CAMP. REG)'!$F$231:$P$461,11,FALSE)</f>
        <v>0.5</v>
      </c>
      <c r="AF201" s="73">
        <f>VLOOKUP(W201,'[1]POS_EAD_0112 a 3101_CAMP. REG)'!$F$231:$Q$461,12,FALSE)</f>
        <v>136.54</v>
      </c>
      <c r="AH201" s="121" t="s">
        <v>247</v>
      </c>
      <c r="AI201" s="69" t="s">
        <v>19</v>
      </c>
      <c r="AJ201" s="68" t="str">
        <f>VLOOKUP(UNG[[#This Row],[CURSO]],'[1]POS_EAD_0112 a 3101_CAMP. REG)'!$F$463:$G$688,2,FALSE)</f>
        <v>Humanas</v>
      </c>
      <c r="AK201" s="68">
        <f>VLOOKUP(UNG[[#This Row],[CURSO]],'[1]POS_EAD_0112 a 3101_CAMP. REG)'!$F$463:$H$688,3,FALSE)</f>
        <v>6</v>
      </c>
      <c r="AL201" s="68">
        <f>VLOOKUP(UNG[[#This Row],[CURSO]],'[1]POS_EAD_0112 a 3101_CAMP. REG)'!$F$463:$I$688,4,FALSE)</f>
        <v>13</v>
      </c>
      <c r="AM201" s="71">
        <f>VLOOKUP(UNG[[#This Row],[CURSO]],'[1]POS_EAD_0112 a 3101_CAMP. REG)'!$F$463:$J$688,5,FALSE)</f>
        <v>269.33202599999998</v>
      </c>
      <c r="AN201" s="124">
        <f>VLOOKUP(UNG[[#This Row],[CURSO]],'[1]POS_EAD_0112 a 3101_CAMP. REG)'!$F$463:$L$688,7,FALSE)</f>
        <v>0.45</v>
      </c>
      <c r="AO201" s="71">
        <f>VLOOKUP(UNG[[#This Row],[CURSO]],'[1]POS_EAD_0112 a 3101_CAMP. REG)'!$F$463:$M$688,8,FALSE)</f>
        <v>133.32</v>
      </c>
      <c r="AP201" s="124">
        <f>VLOOKUP(UNG[[#This Row],[CURSO]],'[1]POS_EAD_0112 a 3101_CAMP. REG)'!$F$463:$P$688,11,FALSE)</f>
        <v>0.5</v>
      </c>
      <c r="AQ201" s="71">
        <f>VLOOKUP(UNG[[#This Row],[CURSO]],'[1]POS_EAD_0112 a 3101_CAMP. REG)'!$F$463:$Q$688,12,FALSE)</f>
        <v>121.2</v>
      </c>
      <c r="AS201" s="121" t="s">
        <v>247</v>
      </c>
      <c r="AT201" s="69" t="s">
        <v>19</v>
      </c>
      <c r="AU201" s="69" t="str">
        <f>VLOOKUP(UNINASSAU[[#This Row],[CURSO]],'[1]POS_EAD_0112 a 3101_CAMP. REG)'!$F$690:$G$915,2,FALSE)</f>
        <v>Humanas</v>
      </c>
      <c r="AV201" s="69">
        <f>VLOOKUP(UNINASSAU[[#This Row],[CURSO]],'[1]POS_EAD_0112 a 3101_CAMP. REG)'!$F$690:$H$915,3,FALSE)</f>
        <v>6</v>
      </c>
      <c r="AW201" s="69">
        <f>VLOOKUP(UNINASSAU[[#This Row],[CURSO]],'[1]POS_EAD_0112 a 3101_CAMP. REG)'!$F$690:$I$915,4,FALSE)</f>
        <v>13</v>
      </c>
      <c r="AX201" s="73">
        <f>VLOOKUP(UNINASSAU[[#This Row],[CURSO]],'[1]POS_EAD_0112 a 3101_CAMP. REG)'!$F$690:$J$915,5,FALSE)</f>
        <v>269.33202599999998</v>
      </c>
      <c r="AY201" s="72">
        <f>VLOOKUP(UNINASSAU[[#This Row],[CURSO]],'[1]POS_EAD_0112 a 3101_CAMP. REG)'!$F$690:$L$915,7,FALSE)</f>
        <v>0.45</v>
      </c>
      <c r="AZ201" s="73">
        <f>VLOOKUP(UNINASSAU[[#This Row],[CURSO]],'[1]POS_EAD_0112 a 3101_CAMP. REG)'!$F$690:$N$915,8,FALSE)</f>
        <v>133.32</v>
      </c>
      <c r="BA201" s="72">
        <f>VLOOKUP(UNINASSAU[[#This Row],[CURSO]],'[1]POS_EAD_0112 a 3101_CAMP. REG)'!$F$690:$P$915,11,FALSE)</f>
        <v>0.5</v>
      </c>
      <c r="BB201" s="73">
        <f>VLOOKUP(UNINASSAU[[#This Row],[CURSO]],'[1]POS_EAD_0112 a 3101_CAMP. REG)'!$F$690:$Q$915,12,FALSE)</f>
        <v>121.2</v>
      </c>
      <c r="BD201" s="104">
        <v>198</v>
      </c>
      <c r="BE201" s="121" t="s">
        <v>247</v>
      </c>
      <c r="BF201" s="69" t="s">
        <v>19</v>
      </c>
    </row>
    <row r="202" spans="12:58" x14ac:dyDescent="0.25">
      <c r="L202" s="121" t="s">
        <v>39</v>
      </c>
      <c r="M202" s="69" t="s">
        <v>19</v>
      </c>
      <c r="N202" s="69" t="str">
        <f>VLOOKUP($L$4,'[1]POS_EAD_0112 a 3101_CAMP. REG)'!$F$5:$G$231,2,FALSE)</f>
        <v>Humanas</v>
      </c>
      <c r="O202" s="69">
        <f>VLOOKUP(L202,'[1]POS_EAD_0112 a 3101_CAMP. REG)'!$F$5:$H$231,3,FALSE)</f>
        <v>12</v>
      </c>
      <c r="P202" s="68">
        <f>VLOOKUP(L202,'[1]POS_EAD_0112 a 3101_CAMP. REG)'!$F$5:$I$231,4,FALSE)</f>
        <v>19</v>
      </c>
      <c r="Q202" s="73">
        <f>VLOOKUP(L202,'[1]POS_EAD_0112 a 3101_CAMP. REG)'!$F$5:$J$231,5,FALSE)</f>
        <v>184.28091221052631</v>
      </c>
      <c r="R202" s="124">
        <f>VLOOKUP(L202,'[1]POS_EAD_0112 a 3101_CAMP. REG)'!$F$5:$L$231,7,FALSE)</f>
        <v>0.45</v>
      </c>
      <c r="S202" s="73">
        <f>VLOOKUP(L202,'[1]POS_EAD_0112 a 3101_CAMP. REG)'!$F$5:$M$231,8,FALSE)</f>
        <v>91.22</v>
      </c>
      <c r="T202" s="124">
        <f>VLOOKUP(L202,'[1]POS_EAD_0112 a 3101_CAMP. REG)'!$F$5:$P$231,11,FALSE)</f>
        <v>0.5</v>
      </c>
      <c r="U202" s="73">
        <f>VLOOKUP(L202,'[1]POS_EAD_0112 a 3101_CAMP. REG)'!$F$5:$Q$231,12,FALSE)</f>
        <v>82.93</v>
      </c>
      <c r="W202" s="121" t="s">
        <v>39</v>
      </c>
      <c r="X202" s="69" t="s">
        <v>19</v>
      </c>
      <c r="Y202" s="69" t="str">
        <f>VLOOKUP(W202,'[1]POS_EAD_0112 a 3101_CAMP. REG)'!$F$231:$G$461,2,FALSE)</f>
        <v>Humanas</v>
      </c>
      <c r="Z202" s="68">
        <f>VLOOKUP(W202,'[1]POS_EAD_0112 a 3101_CAMP. REG)'!$F$231:$H$461,3,FALSE)</f>
        <v>12</v>
      </c>
      <c r="AA202" s="68">
        <f>VLOOKUP(W202,'[1]POS_EAD_0112 a 3101_CAMP. REG)'!$F$231:$I$461,4,FALSE)</f>
        <v>19</v>
      </c>
      <c r="AB202" s="73">
        <f>VLOOKUP(W202,'[1]POS_EAD_0112 a 3101_CAMP. REG)'!$F$231:$J$461,5,FALSE)</f>
        <v>207.609666</v>
      </c>
      <c r="AC202" s="72">
        <f>VLOOKUP(W202,'[1]POS_EAD_0112 a 3101_CAMP. REG)'!$F$231:$L$461,7,FALSE)</f>
        <v>0.45</v>
      </c>
      <c r="AD202" s="73">
        <f>VLOOKUP(W202,'[1]POS_EAD_0112 a 3101_CAMP. REG)'!$F$231:$M$461,8,FALSE)</f>
        <v>102.77</v>
      </c>
      <c r="AE202" s="72">
        <f>VLOOKUP(W202,'[1]POS_EAD_0112 a 3101_CAMP. REG)'!$F$231:$P$461,11,FALSE)</f>
        <v>0.5</v>
      </c>
      <c r="AF202" s="73">
        <f>VLOOKUP(W202,'[1]POS_EAD_0112 a 3101_CAMP. REG)'!$F$231:$Q$461,12,FALSE)</f>
        <v>93.42</v>
      </c>
      <c r="AH202" s="121" t="s">
        <v>39</v>
      </c>
      <c r="AI202" s="69" t="s">
        <v>19</v>
      </c>
      <c r="AJ202" s="68" t="str">
        <f>VLOOKUP(UNG[[#This Row],[CURSO]],'[1]POS_EAD_0112 a 3101_CAMP. REG)'!$F$463:$G$688,2,FALSE)</f>
        <v>Humanas</v>
      </c>
      <c r="AK202" s="68">
        <f>VLOOKUP(UNG[[#This Row],[CURSO]],'[1]POS_EAD_0112 a 3101_CAMP. REG)'!$F$463:$H$688,3,FALSE)</f>
        <v>12</v>
      </c>
      <c r="AL202" s="68">
        <f>VLOOKUP(UNG[[#This Row],[CURSO]],'[1]POS_EAD_0112 a 3101_CAMP. REG)'!$F$463:$I$688,4,FALSE)</f>
        <v>19</v>
      </c>
      <c r="AM202" s="71">
        <f>VLOOKUP(UNG[[#This Row],[CURSO]],'[1]POS_EAD_0112 a 3101_CAMP. REG)'!$F$463:$J$688,5,FALSE)</f>
        <v>184.28091221052631</v>
      </c>
      <c r="AN202" s="124">
        <f>VLOOKUP(UNG[[#This Row],[CURSO]],'[1]POS_EAD_0112 a 3101_CAMP. REG)'!$F$463:$L$688,7,FALSE)</f>
        <v>0.45</v>
      </c>
      <c r="AO202" s="71">
        <f>VLOOKUP(UNG[[#This Row],[CURSO]],'[1]POS_EAD_0112 a 3101_CAMP. REG)'!$F$463:$M$688,8,FALSE)</f>
        <v>91.22</v>
      </c>
      <c r="AP202" s="124">
        <f>VLOOKUP(UNG[[#This Row],[CURSO]],'[1]POS_EAD_0112 a 3101_CAMP. REG)'!$F$463:$P$688,11,FALSE)</f>
        <v>0.5</v>
      </c>
      <c r="AQ202" s="71">
        <f>VLOOKUP(UNG[[#This Row],[CURSO]],'[1]POS_EAD_0112 a 3101_CAMP. REG)'!$F$463:$Q$688,12,FALSE)</f>
        <v>82.93</v>
      </c>
      <c r="AS202" s="121" t="s">
        <v>39</v>
      </c>
      <c r="AT202" s="69" t="s">
        <v>19</v>
      </c>
      <c r="AU202" s="69" t="str">
        <f>VLOOKUP(UNINASSAU[[#This Row],[CURSO]],'[1]POS_EAD_0112 a 3101_CAMP. REG)'!$F$690:$G$915,2,FALSE)</f>
        <v>Humanas</v>
      </c>
      <c r="AV202" s="69">
        <f>VLOOKUP(UNINASSAU[[#This Row],[CURSO]],'[1]POS_EAD_0112 a 3101_CAMP. REG)'!$F$690:$H$915,3,FALSE)</f>
        <v>12</v>
      </c>
      <c r="AW202" s="69">
        <f>VLOOKUP(UNINASSAU[[#This Row],[CURSO]],'[1]POS_EAD_0112 a 3101_CAMP. REG)'!$F$690:$I$915,4,FALSE)</f>
        <v>19</v>
      </c>
      <c r="AX202" s="73">
        <f>VLOOKUP(UNINASSAU[[#This Row],[CURSO]],'[1]POS_EAD_0112 a 3101_CAMP. REG)'!$F$690:$J$915,5,FALSE)</f>
        <v>184.28091221052631</v>
      </c>
      <c r="AY202" s="72">
        <f>VLOOKUP(UNINASSAU[[#This Row],[CURSO]],'[1]POS_EAD_0112 a 3101_CAMP. REG)'!$F$690:$L$915,7,FALSE)</f>
        <v>0.45</v>
      </c>
      <c r="AZ202" s="73">
        <f>VLOOKUP(UNINASSAU[[#This Row],[CURSO]],'[1]POS_EAD_0112 a 3101_CAMP. REG)'!$F$690:$N$915,8,FALSE)</f>
        <v>91.22</v>
      </c>
      <c r="BA202" s="72">
        <f>VLOOKUP(UNINASSAU[[#This Row],[CURSO]],'[1]POS_EAD_0112 a 3101_CAMP. REG)'!$F$690:$P$915,11,FALSE)</f>
        <v>0.5</v>
      </c>
      <c r="BB202" s="73">
        <f>VLOOKUP(UNINASSAU[[#This Row],[CURSO]],'[1]POS_EAD_0112 a 3101_CAMP. REG)'!$F$690:$Q$915,12,FALSE)</f>
        <v>82.93</v>
      </c>
      <c r="BD202" s="104">
        <v>199</v>
      </c>
      <c r="BE202" s="121" t="s">
        <v>39</v>
      </c>
      <c r="BF202" s="69" t="s">
        <v>19</v>
      </c>
    </row>
    <row r="203" spans="12:58" x14ac:dyDescent="0.25">
      <c r="L203" s="121" t="s">
        <v>44</v>
      </c>
      <c r="M203" s="69" t="s">
        <v>19</v>
      </c>
      <c r="N203" s="69" t="str">
        <f>VLOOKUP($L$4,'[1]POS_EAD_0112 a 3101_CAMP. REG)'!$F$5:$G$231,2,FALSE)</f>
        <v>Humanas</v>
      </c>
      <c r="O203" s="69">
        <f>VLOOKUP(L203,'[1]POS_EAD_0112 a 3101_CAMP. REG)'!$F$5:$H$231,3,FALSE)</f>
        <v>12</v>
      </c>
      <c r="P203" s="68">
        <f>VLOOKUP(L203,'[1]POS_EAD_0112 a 3101_CAMP. REG)'!$F$5:$I$231,4,FALSE)</f>
        <v>19</v>
      </c>
      <c r="Q203" s="73">
        <f>VLOOKUP(L203,'[1]POS_EAD_0112 a 3101_CAMP. REG)'!$F$5:$J$231,5,FALSE)</f>
        <v>184.28091221052631</v>
      </c>
      <c r="R203" s="124">
        <f>VLOOKUP(L203,'[1]POS_EAD_0112 a 3101_CAMP. REG)'!$F$5:$L$231,7,FALSE)</f>
        <v>0.45</v>
      </c>
      <c r="S203" s="73">
        <f>VLOOKUP(L203,'[1]POS_EAD_0112 a 3101_CAMP. REG)'!$F$5:$M$231,8,FALSE)</f>
        <v>91.22</v>
      </c>
      <c r="T203" s="124">
        <f>VLOOKUP(L203,'[1]POS_EAD_0112 a 3101_CAMP. REG)'!$F$5:$P$231,11,FALSE)</f>
        <v>0.5</v>
      </c>
      <c r="U203" s="73">
        <f>VLOOKUP(L203,'[1]POS_EAD_0112 a 3101_CAMP. REG)'!$F$5:$Q$231,12,FALSE)</f>
        <v>82.93</v>
      </c>
      <c r="W203" s="121" t="s">
        <v>44</v>
      </c>
      <c r="X203" s="69" t="s">
        <v>19</v>
      </c>
      <c r="Y203" s="69" t="str">
        <f>VLOOKUP(W203,'[1]POS_EAD_0112 a 3101_CAMP. REG)'!$F$231:$G$461,2,FALSE)</f>
        <v>Humanas</v>
      </c>
      <c r="Z203" s="68">
        <f>VLOOKUP(W203,'[1]POS_EAD_0112 a 3101_CAMP. REG)'!$F$231:$H$461,3,FALSE)</f>
        <v>12</v>
      </c>
      <c r="AA203" s="68">
        <f>VLOOKUP(W203,'[1]POS_EAD_0112 a 3101_CAMP. REG)'!$F$231:$I$461,4,FALSE)</f>
        <v>19</v>
      </c>
      <c r="AB203" s="73">
        <f>VLOOKUP(W203,'[1]POS_EAD_0112 a 3101_CAMP. REG)'!$F$231:$J$461,5,FALSE)</f>
        <v>207.609666</v>
      </c>
      <c r="AC203" s="72">
        <f>VLOOKUP(W203,'[1]POS_EAD_0112 a 3101_CAMP. REG)'!$F$231:$L$461,7,FALSE)</f>
        <v>0.45</v>
      </c>
      <c r="AD203" s="73">
        <f>VLOOKUP(W203,'[1]POS_EAD_0112 a 3101_CAMP. REG)'!$F$231:$M$461,8,FALSE)</f>
        <v>102.77</v>
      </c>
      <c r="AE203" s="72">
        <f>VLOOKUP(W203,'[1]POS_EAD_0112 a 3101_CAMP. REG)'!$F$231:$P$461,11,FALSE)</f>
        <v>0.5</v>
      </c>
      <c r="AF203" s="73">
        <f>VLOOKUP(W203,'[1]POS_EAD_0112 a 3101_CAMP. REG)'!$F$231:$Q$461,12,FALSE)</f>
        <v>93.42</v>
      </c>
      <c r="AH203" s="121" t="s">
        <v>44</v>
      </c>
      <c r="AI203" s="69" t="s">
        <v>19</v>
      </c>
      <c r="AJ203" s="68" t="str">
        <f>VLOOKUP(UNG[[#This Row],[CURSO]],'[1]POS_EAD_0112 a 3101_CAMP. REG)'!$F$463:$G$688,2,FALSE)</f>
        <v>Humanas</v>
      </c>
      <c r="AK203" s="68">
        <f>VLOOKUP(UNG[[#This Row],[CURSO]],'[1]POS_EAD_0112 a 3101_CAMP. REG)'!$F$463:$H$688,3,FALSE)</f>
        <v>12</v>
      </c>
      <c r="AL203" s="68">
        <f>VLOOKUP(UNG[[#This Row],[CURSO]],'[1]POS_EAD_0112 a 3101_CAMP. REG)'!$F$463:$I$688,4,FALSE)</f>
        <v>19</v>
      </c>
      <c r="AM203" s="71">
        <f>VLOOKUP(UNG[[#This Row],[CURSO]],'[1]POS_EAD_0112 a 3101_CAMP. REG)'!$F$463:$J$688,5,FALSE)</f>
        <v>184.28091221052631</v>
      </c>
      <c r="AN203" s="124">
        <f>VLOOKUP(UNG[[#This Row],[CURSO]],'[1]POS_EAD_0112 a 3101_CAMP. REG)'!$F$463:$L$688,7,FALSE)</f>
        <v>0.45</v>
      </c>
      <c r="AO203" s="71">
        <f>VLOOKUP(UNG[[#This Row],[CURSO]],'[1]POS_EAD_0112 a 3101_CAMP. REG)'!$F$463:$M$688,8,FALSE)</f>
        <v>91.22</v>
      </c>
      <c r="AP203" s="124">
        <f>VLOOKUP(UNG[[#This Row],[CURSO]],'[1]POS_EAD_0112 a 3101_CAMP. REG)'!$F$463:$P$688,11,FALSE)</f>
        <v>0.5</v>
      </c>
      <c r="AQ203" s="71">
        <f>VLOOKUP(UNG[[#This Row],[CURSO]],'[1]POS_EAD_0112 a 3101_CAMP. REG)'!$F$463:$Q$688,12,FALSE)</f>
        <v>82.93</v>
      </c>
      <c r="AS203" s="121" t="s">
        <v>44</v>
      </c>
      <c r="AT203" s="69" t="s">
        <v>19</v>
      </c>
      <c r="AU203" s="69" t="str">
        <f>VLOOKUP(UNINASSAU[[#This Row],[CURSO]],'[1]POS_EAD_0112 a 3101_CAMP. REG)'!$F$690:$G$915,2,FALSE)</f>
        <v>Humanas</v>
      </c>
      <c r="AV203" s="69">
        <f>VLOOKUP(UNINASSAU[[#This Row],[CURSO]],'[1]POS_EAD_0112 a 3101_CAMP. REG)'!$F$690:$H$915,3,FALSE)</f>
        <v>12</v>
      </c>
      <c r="AW203" s="69">
        <f>VLOOKUP(UNINASSAU[[#This Row],[CURSO]],'[1]POS_EAD_0112 a 3101_CAMP. REG)'!$F$690:$I$915,4,FALSE)</f>
        <v>19</v>
      </c>
      <c r="AX203" s="73">
        <f>VLOOKUP(UNINASSAU[[#This Row],[CURSO]],'[1]POS_EAD_0112 a 3101_CAMP. REG)'!$F$690:$J$915,5,FALSE)</f>
        <v>184.28091221052631</v>
      </c>
      <c r="AY203" s="72">
        <f>VLOOKUP(UNINASSAU[[#This Row],[CURSO]],'[1]POS_EAD_0112 a 3101_CAMP. REG)'!$F$690:$L$915,7,FALSE)</f>
        <v>0.45</v>
      </c>
      <c r="AZ203" s="73">
        <f>VLOOKUP(UNINASSAU[[#This Row],[CURSO]],'[1]POS_EAD_0112 a 3101_CAMP. REG)'!$F$690:$N$915,8,FALSE)</f>
        <v>91.22</v>
      </c>
      <c r="BA203" s="72">
        <f>VLOOKUP(UNINASSAU[[#This Row],[CURSO]],'[1]POS_EAD_0112 a 3101_CAMP. REG)'!$F$690:$P$915,11,FALSE)</f>
        <v>0.5</v>
      </c>
      <c r="BB203" s="73">
        <f>VLOOKUP(UNINASSAU[[#This Row],[CURSO]],'[1]POS_EAD_0112 a 3101_CAMP. REG)'!$F$690:$Q$915,12,FALSE)</f>
        <v>82.93</v>
      </c>
      <c r="BD203" s="104">
        <v>200</v>
      </c>
      <c r="BE203" s="121" t="s">
        <v>44</v>
      </c>
      <c r="BF203" s="69" t="s">
        <v>19</v>
      </c>
    </row>
    <row r="204" spans="12:58" x14ac:dyDescent="0.25">
      <c r="L204" s="121" t="s">
        <v>55</v>
      </c>
      <c r="M204" s="69" t="s">
        <v>19</v>
      </c>
      <c r="N204" s="69" t="str">
        <f>VLOOKUP($L$4,'[1]POS_EAD_0112 a 3101_CAMP. REG)'!$F$5:$G$231,2,FALSE)</f>
        <v>Humanas</v>
      </c>
      <c r="O204" s="69">
        <f>VLOOKUP(L204,'[1]POS_EAD_0112 a 3101_CAMP. REG)'!$F$5:$H$231,3,FALSE)</f>
        <v>12</v>
      </c>
      <c r="P204" s="68">
        <f>VLOOKUP(L204,'[1]POS_EAD_0112 a 3101_CAMP. REG)'!$F$5:$I$231,4,FALSE)</f>
        <v>19</v>
      </c>
      <c r="Q204" s="73">
        <f>VLOOKUP(L204,'[1]POS_EAD_0112 a 3101_CAMP. REG)'!$F$5:$J$231,5,FALSE)</f>
        <v>184.28091221052631</v>
      </c>
      <c r="R204" s="124">
        <f>VLOOKUP(L204,'[1]POS_EAD_0112 a 3101_CAMP. REG)'!$F$5:$L$231,7,FALSE)</f>
        <v>0.45</v>
      </c>
      <c r="S204" s="73">
        <f>VLOOKUP(L204,'[1]POS_EAD_0112 a 3101_CAMP. REG)'!$F$5:$M$231,8,FALSE)</f>
        <v>91.22</v>
      </c>
      <c r="T204" s="124">
        <f>VLOOKUP(L204,'[1]POS_EAD_0112 a 3101_CAMP. REG)'!$F$5:$P$231,11,FALSE)</f>
        <v>0.5</v>
      </c>
      <c r="U204" s="73">
        <f>VLOOKUP(L204,'[1]POS_EAD_0112 a 3101_CAMP. REG)'!$F$5:$Q$231,12,FALSE)</f>
        <v>82.93</v>
      </c>
      <c r="W204" s="121" t="s">
        <v>55</v>
      </c>
      <c r="X204" s="69" t="s">
        <v>19</v>
      </c>
      <c r="Y204" s="69" t="str">
        <f>VLOOKUP(W204,'[1]POS_EAD_0112 a 3101_CAMP. REG)'!$F$231:$G$461,2,FALSE)</f>
        <v>Exatas</v>
      </c>
      <c r="Z204" s="68">
        <f>VLOOKUP(W204,'[1]POS_EAD_0112 a 3101_CAMP. REG)'!$F$231:$H$461,3,FALSE)</f>
        <v>12</v>
      </c>
      <c r="AA204" s="68">
        <f>VLOOKUP(W204,'[1]POS_EAD_0112 a 3101_CAMP. REG)'!$F$231:$I$461,4,FALSE)</f>
        <v>19</v>
      </c>
      <c r="AB204" s="73">
        <f>VLOOKUP(W204,'[1]POS_EAD_0112 a 3101_CAMP. REG)'!$F$231:$J$461,5,FALSE)</f>
        <v>207.609666</v>
      </c>
      <c r="AC204" s="72">
        <f>VLOOKUP(W204,'[1]POS_EAD_0112 a 3101_CAMP. REG)'!$F$231:$L$461,7,FALSE)</f>
        <v>0.45</v>
      </c>
      <c r="AD204" s="73">
        <f>VLOOKUP(W204,'[1]POS_EAD_0112 a 3101_CAMP. REG)'!$F$231:$M$461,8,FALSE)</f>
        <v>102.77</v>
      </c>
      <c r="AE204" s="72">
        <f>VLOOKUP(W204,'[1]POS_EAD_0112 a 3101_CAMP. REG)'!$F$231:$P$461,11,FALSE)</f>
        <v>0.5</v>
      </c>
      <c r="AF204" s="73">
        <f>VLOOKUP(W204,'[1]POS_EAD_0112 a 3101_CAMP. REG)'!$F$231:$Q$461,12,FALSE)</f>
        <v>93.42</v>
      </c>
      <c r="AH204" s="121" t="s">
        <v>55</v>
      </c>
      <c r="AI204" s="69" t="s">
        <v>19</v>
      </c>
      <c r="AJ204" s="68" t="str">
        <f>VLOOKUP(UNG[[#This Row],[CURSO]],'[1]POS_EAD_0112 a 3101_CAMP. REG)'!$F$463:$G$688,2,FALSE)</f>
        <v>Exatas</v>
      </c>
      <c r="AK204" s="68">
        <f>VLOOKUP(UNG[[#This Row],[CURSO]],'[1]POS_EAD_0112 a 3101_CAMP. REG)'!$F$463:$H$688,3,FALSE)</f>
        <v>12</v>
      </c>
      <c r="AL204" s="68">
        <f>VLOOKUP(UNG[[#This Row],[CURSO]],'[1]POS_EAD_0112 a 3101_CAMP. REG)'!$F$463:$I$688,4,FALSE)</f>
        <v>19</v>
      </c>
      <c r="AM204" s="71">
        <f>VLOOKUP(UNG[[#This Row],[CURSO]],'[1]POS_EAD_0112 a 3101_CAMP. REG)'!$F$463:$J$688,5,FALSE)</f>
        <v>184.28091221052631</v>
      </c>
      <c r="AN204" s="124">
        <f>VLOOKUP(UNG[[#This Row],[CURSO]],'[1]POS_EAD_0112 a 3101_CAMP. REG)'!$F$463:$L$688,7,FALSE)</f>
        <v>0.45</v>
      </c>
      <c r="AO204" s="71">
        <f>VLOOKUP(UNG[[#This Row],[CURSO]],'[1]POS_EAD_0112 a 3101_CAMP. REG)'!$F$463:$M$688,8,FALSE)</f>
        <v>91.22</v>
      </c>
      <c r="AP204" s="124">
        <f>VLOOKUP(UNG[[#This Row],[CURSO]],'[1]POS_EAD_0112 a 3101_CAMP. REG)'!$F$463:$P$688,11,FALSE)</f>
        <v>0.5</v>
      </c>
      <c r="AQ204" s="71">
        <f>VLOOKUP(UNG[[#This Row],[CURSO]],'[1]POS_EAD_0112 a 3101_CAMP. REG)'!$F$463:$Q$688,12,FALSE)</f>
        <v>82.93</v>
      </c>
      <c r="AS204" s="121" t="s">
        <v>55</v>
      </c>
      <c r="AT204" s="69" t="s">
        <v>19</v>
      </c>
      <c r="AU204" s="69" t="str">
        <f>VLOOKUP(UNINASSAU[[#This Row],[CURSO]],'[1]POS_EAD_0112 a 3101_CAMP. REG)'!$F$690:$G$915,2,FALSE)</f>
        <v>Exatas</v>
      </c>
      <c r="AV204" s="69">
        <f>VLOOKUP(UNINASSAU[[#This Row],[CURSO]],'[1]POS_EAD_0112 a 3101_CAMP. REG)'!$F$690:$H$915,3,FALSE)</f>
        <v>12</v>
      </c>
      <c r="AW204" s="69">
        <f>VLOOKUP(UNINASSAU[[#This Row],[CURSO]],'[1]POS_EAD_0112 a 3101_CAMP. REG)'!$F$690:$I$915,4,FALSE)</f>
        <v>19</v>
      </c>
      <c r="AX204" s="73">
        <f>VLOOKUP(UNINASSAU[[#This Row],[CURSO]],'[1]POS_EAD_0112 a 3101_CAMP. REG)'!$F$690:$J$915,5,FALSE)</f>
        <v>184.28091221052631</v>
      </c>
      <c r="AY204" s="72">
        <f>VLOOKUP(UNINASSAU[[#This Row],[CURSO]],'[1]POS_EAD_0112 a 3101_CAMP. REG)'!$F$690:$L$915,7,FALSE)</f>
        <v>0.45</v>
      </c>
      <c r="AZ204" s="73">
        <f>VLOOKUP(UNINASSAU[[#This Row],[CURSO]],'[1]POS_EAD_0112 a 3101_CAMP. REG)'!$F$690:$N$915,8,FALSE)</f>
        <v>91.22</v>
      </c>
      <c r="BA204" s="72">
        <f>VLOOKUP(UNINASSAU[[#This Row],[CURSO]],'[1]POS_EAD_0112 a 3101_CAMP. REG)'!$F$690:$P$915,11,FALSE)</f>
        <v>0.5</v>
      </c>
      <c r="BB204" s="73">
        <f>VLOOKUP(UNINASSAU[[#This Row],[CURSO]],'[1]POS_EAD_0112 a 3101_CAMP. REG)'!$F$690:$Q$915,12,FALSE)</f>
        <v>82.93</v>
      </c>
      <c r="BD204" s="104">
        <v>201</v>
      </c>
      <c r="BE204" s="121" t="s">
        <v>55</v>
      </c>
      <c r="BF204" s="69" t="s">
        <v>19</v>
      </c>
    </row>
    <row r="205" spans="12:58" x14ac:dyDescent="0.25">
      <c r="L205" s="121" t="s">
        <v>63</v>
      </c>
      <c r="M205" s="69" t="s">
        <v>19</v>
      </c>
      <c r="N205" s="69" t="str">
        <f>VLOOKUP($L$4,'[1]POS_EAD_0112 a 3101_CAMP. REG)'!$F$5:$G$231,2,FALSE)</f>
        <v>Humanas</v>
      </c>
      <c r="O205" s="69">
        <f>VLOOKUP(L205,'[1]POS_EAD_0112 a 3101_CAMP. REG)'!$F$5:$H$231,3,FALSE)</f>
        <v>12</v>
      </c>
      <c r="P205" s="68">
        <f>VLOOKUP(L205,'[1]POS_EAD_0112 a 3101_CAMP. REG)'!$F$5:$I$231,4,FALSE)</f>
        <v>19</v>
      </c>
      <c r="Q205" s="73">
        <f>VLOOKUP(L205,'[1]POS_EAD_0112 a 3101_CAMP. REG)'!$F$5:$J$231,5,FALSE)</f>
        <v>184.28091221052631</v>
      </c>
      <c r="R205" s="124">
        <f>VLOOKUP(L205,'[1]POS_EAD_0112 a 3101_CAMP. REG)'!$F$5:$L$231,7,FALSE)</f>
        <v>0.45</v>
      </c>
      <c r="S205" s="73">
        <f>VLOOKUP(L205,'[1]POS_EAD_0112 a 3101_CAMP. REG)'!$F$5:$M$231,8,FALSE)</f>
        <v>91.22</v>
      </c>
      <c r="T205" s="124">
        <f>VLOOKUP(L205,'[1]POS_EAD_0112 a 3101_CAMP. REG)'!$F$5:$P$231,11,FALSE)</f>
        <v>0.5</v>
      </c>
      <c r="U205" s="73">
        <f>VLOOKUP(L205,'[1]POS_EAD_0112 a 3101_CAMP. REG)'!$F$5:$Q$231,12,FALSE)</f>
        <v>82.93</v>
      </c>
      <c r="W205" s="121" t="s">
        <v>63</v>
      </c>
      <c r="X205" s="69" t="s">
        <v>19</v>
      </c>
      <c r="Y205" s="69" t="str">
        <f>VLOOKUP(W205,'[1]POS_EAD_0112 a 3101_CAMP. REG)'!$F$231:$G$461,2,FALSE)</f>
        <v>Exatas</v>
      </c>
      <c r="Z205" s="68">
        <f>VLOOKUP(W205,'[1]POS_EAD_0112 a 3101_CAMP. REG)'!$F$231:$H$461,3,FALSE)</f>
        <v>12</v>
      </c>
      <c r="AA205" s="68">
        <f>VLOOKUP(W205,'[1]POS_EAD_0112 a 3101_CAMP. REG)'!$F$231:$I$461,4,FALSE)</f>
        <v>19</v>
      </c>
      <c r="AB205" s="73">
        <f>VLOOKUP(W205,'[1]POS_EAD_0112 a 3101_CAMP. REG)'!$F$231:$J$461,5,FALSE)</f>
        <v>207.609666</v>
      </c>
      <c r="AC205" s="72">
        <f>VLOOKUP(W205,'[1]POS_EAD_0112 a 3101_CAMP. REG)'!$F$231:$L$461,7,FALSE)</f>
        <v>0.45</v>
      </c>
      <c r="AD205" s="73">
        <f>VLOOKUP(W205,'[1]POS_EAD_0112 a 3101_CAMP. REG)'!$F$231:$M$461,8,FALSE)</f>
        <v>102.77</v>
      </c>
      <c r="AE205" s="72">
        <f>VLOOKUP(W205,'[1]POS_EAD_0112 a 3101_CAMP. REG)'!$F$231:$P$461,11,FALSE)</f>
        <v>0.5</v>
      </c>
      <c r="AF205" s="73">
        <f>VLOOKUP(W205,'[1]POS_EAD_0112 a 3101_CAMP. REG)'!$F$231:$Q$461,12,FALSE)</f>
        <v>93.42</v>
      </c>
      <c r="AH205" s="121" t="s">
        <v>63</v>
      </c>
      <c r="AI205" s="69" t="s">
        <v>19</v>
      </c>
      <c r="AJ205" s="68" t="str">
        <f>VLOOKUP(UNG[[#This Row],[CURSO]],'[1]POS_EAD_0112 a 3101_CAMP. REG)'!$F$463:$G$688,2,FALSE)</f>
        <v>Exatas</v>
      </c>
      <c r="AK205" s="68">
        <f>VLOOKUP(UNG[[#This Row],[CURSO]],'[1]POS_EAD_0112 a 3101_CAMP. REG)'!$F$463:$H$688,3,FALSE)</f>
        <v>12</v>
      </c>
      <c r="AL205" s="68">
        <f>VLOOKUP(UNG[[#This Row],[CURSO]],'[1]POS_EAD_0112 a 3101_CAMP. REG)'!$F$463:$I$688,4,FALSE)</f>
        <v>19</v>
      </c>
      <c r="AM205" s="71">
        <f>VLOOKUP(UNG[[#This Row],[CURSO]],'[1]POS_EAD_0112 a 3101_CAMP. REG)'!$F$463:$J$688,5,FALSE)</f>
        <v>184.28091221052631</v>
      </c>
      <c r="AN205" s="124">
        <f>VLOOKUP(UNG[[#This Row],[CURSO]],'[1]POS_EAD_0112 a 3101_CAMP. REG)'!$F$463:$L$688,7,FALSE)</f>
        <v>0.45</v>
      </c>
      <c r="AO205" s="71">
        <f>VLOOKUP(UNG[[#This Row],[CURSO]],'[1]POS_EAD_0112 a 3101_CAMP. REG)'!$F$463:$M$688,8,FALSE)</f>
        <v>91.22</v>
      </c>
      <c r="AP205" s="124">
        <f>VLOOKUP(UNG[[#This Row],[CURSO]],'[1]POS_EAD_0112 a 3101_CAMP. REG)'!$F$463:$P$688,11,FALSE)</f>
        <v>0.5</v>
      </c>
      <c r="AQ205" s="71">
        <f>VLOOKUP(UNG[[#This Row],[CURSO]],'[1]POS_EAD_0112 a 3101_CAMP. REG)'!$F$463:$Q$688,12,FALSE)</f>
        <v>82.93</v>
      </c>
      <c r="AS205" s="121" t="s">
        <v>63</v>
      </c>
      <c r="AT205" s="69" t="s">
        <v>19</v>
      </c>
      <c r="AU205" s="69" t="str">
        <f>VLOOKUP(UNINASSAU[[#This Row],[CURSO]],'[1]POS_EAD_0112 a 3101_CAMP. REG)'!$F$690:$G$915,2,FALSE)</f>
        <v>Exatas</v>
      </c>
      <c r="AV205" s="69">
        <f>VLOOKUP(UNINASSAU[[#This Row],[CURSO]],'[1]POS_EAD_0112 a 3101_CAMP. REG)'!$F$690:$H$915,3,FALSE)</f>
        <v>12</v>
      </c>
      <c r="AW205" s="69">
        <f>VLOOKUP(UNINASSAU[[#This Row],[CURSO]],'[1]POS_EAD_0112 a 3101_CAMP. REG)'!$F$690:$I$915,4,FALSE)</f>
        <v>19</v>
      </c>
      <c r="AX205" s="73">
        <f>VLOOKUP(UNINASSAU[[#This Row],[CURSO]],'[1]POS_EAD_0112 a 3101_CAMP. REG)'!$F$690:$J$915,5,FALSE)</f>
        <v>184.28091221052631</v>
      </c>
      <c r="AY205" s="72">
        <f>VLOOKUP(UNINASSAU[[#This Row],[CURSO]],'[1]POS_EAD_0112 a 3101_CAMP. REG)'!$F$690:$L$915,7,FALSE)</f>
        <v>0.45</v>
      </c>
      <c r="AZ205" s="73">
        <f>VLOOKUP(UNINASSAU[[#This Row],[CURSO]],'[1]POS_EAD_0112 a 3101_CAMP. REG)'!$F$690:$N$915,8,FALSE)</f>
        <v>91.22</v>
      </c>
      <c r="BA205" s="72">
        <f>VLOOKUP(UNINASSAU[[#This Row],[CURSO]],'[1]POS_EAD_0112 a 3101_CAMP. REG)'!$F$690:$P$915,11,FALSE)</f>
        <v>0.5</v>
      </c>
      <c r="BB205" s="73">
        <f>VLOOKUP(UNINASSAU[[#This Row],[CURSO]],'[1]POS_EAD_0112 a 3101_CAMP. REG)'!$F$690:$Q$915,12,FALSE)</f>
        <v>82.93</v>
      </c>
      <c r="BD205" s="104">
        <v>202</v>
      </c>
      <c r="BE205" s="121" t="s">
        <v>63</v>
      </c>
      <c r="BF205" s="69" t="s">
        <v>19</v>
      </c>
    </row>
    <row r="206" spans="12:58" x14ac:dyDescent="0.25">
      <c r="L206" s="121" t="s">
        <v>79</v>
      </c>
      <c r="M206" s="69" t="s">
        <v>19</v>
      </c>
      <c r="N206" s="69" t="str">
        <f>VLOOKUP($L$4,'[1]POS_EAD_0112 a 3101_CAMP. REG)'!$F$5:$G$231,2,FALSE)</f>
        <v>Humanas</v>
      </c>
      <c r="O206" s="69">
        <f>VLOOKUP(L206,'[1]POS_EAD_0112 a 3101_CAMP. REG)'!$F$5:$H$231,3,FALSE)</f>
        <v>12</v>
      </c>
      <c r="P206" s="68">
        <f>VLOOKUP(L206,'[1]POS_EAD_0112 a 3101_CAMP. REG)'!$F$5:$I$231,4,FALSE)</f>
        <v>19</v>
      </c>
      <c r="Q206" s="73">
        <f>VLOOKUP(L206,'[1]POS_EAD_0112 a 3101_CAMP. REG)'!$F$5:$J$231,5,FALSE)</f>
        <v>184.28091221052631</v>
      </c>
      <c r="R206" s="124">
        <f>VLOOKUP(L206,'[1]POS_EAD_0112 a 3101_CAMP. REG)'!$F$5:$L$231,7,FALSE)</f>
        <v>0.45</v>
      </c>
      <c r="S206" s="73">
        <f>VLOOKUP(L206,'[1]POS_EAD_0112 a 3101_CAMP. REG)'!$F$5:$M$231,8,FALSE)</f>
        <v>91.22</v>
      </c>
      <c r="T206" s="124">
        <f>VLOOKUP(L206,'[1]POS_EAD_0112 a 3101_CAMP. REG)'!$F$5:$P$231,11,FALSE)</f>
        <v>0.5</v>
      </c>
      <c r="U206" s="73">
        <f>VLOOKUP(L206,'[1]POS_EAD_0112 a 3101_CAMP. REG)'!$F$5:$Q$231,12,FALSE)</f>
        <v>82.93</v>
      </c>
      <c r="W206" s="121" t="s">
        <v>79</v>
      </c>
      <c r="X206" s="69" t="s">
        <v>19</v>
      </c>
      <c r="Y206" s="69" t="str">
        <f>VLOOKUP(W206,'[1]POS_EAD_0112 a 3101_CAMP. REG)'!$F$231:$G$461,2,FALSE)</f>
        <v>Humanas</v>
      </c>
      <c r="Z206" s="68">
        <f>VLOOKUP(W206,'[1]POS_EAD_0112 a 3101_CAMP. REG)'!$F$231:$H$461,3,FALSE)</f>
        <v>12</v>
      </c>
      <c r="AA206" s="68">
        <f>VLOOKUP(W206,'[1]POS_EAD_0112 a 3101_CAMP. REG)'!$F$231:$I$461,4,FALSE)</f>
        <v>19</v>
      </c>
      <c r="AB206" s="73">
        <f>VLOOKUP(W206,'[1]POS_EAD_0112 a 3101_CAMP. REG)'!$F$231:$J$461,5,FALSE)</f>
        <v>207.609666</v>
      </c>
      <c r="AC206" s="72">
        <f>VLOOKUP(W206,'[1]POS_EAD_0112 a 3101_CAMP. REG)'!$F$231:$L$461,7,FALSE)</f>
        <v>0.45</v>
      </c>
      <c r="AD206" s="73">
        <f>VLOOKUP(W206,'[1]POS_EAD_0112 a 3101_CAMP. REG)'!$F$231:$M$461,8,FALSE)</f>
        <v>102.77</v>
      </c>
      <c r="AE206" s="72">
        <f>VLOOKUP(W206,'[1]POS_EAD_0112 a 3101_CAMP. REG)'!$F$231:$P$461,11,FALSE)</f>
        <v>0.5</v>
      </c>
      <c r="AF206" s="73">
        <f>VLOOKUP(W206,'[1]POS_EAD_0112 a 3101_CAMP. REG)'!$F$231:$Q$461,12,FALSE)</f>
        <v>93.42</v>
      </c>
      <c r="AH206" s="121" t="s">
        <v>79</v>
      </c>
      <c r="AI206" s="69" t="s">
        <v>19</v>
      </c>
      <c r="AJ206" s="68" t="str">
        <f>VLOOKUP(UNG[[#This Row],[CURSO]],'[1]POS_EAD_0112 a 3101_CAMP. REG)'!$F$463:$G$688,2,FALSE)</f>
        <v>Humanas</v>
      </c>
      <c r="AK206" s="68">
        <f>VLOOKUP(UNG[[#This Row],[CURSO]],'[1]POS_EAD_0112 a 3101_CAMP. REG)'!$F$463:$H$688,3,FALSE)</f>
        <v>12</v>
      </c>
      <c r="AL206" s="68">
        <f>VLOOKUP(UNG[[#This Row],[CURSO]],'[1]POS_EAD_0112 a 3101_CAMP. REG)'!$F$463:$I$688,4,FALSE)</f>
        <v>19</v>
      </c>
      <c r="AM206" s="71">
        <f>VLOOKUP(UNG[[#This Row],[CURSO]],'[1]POS_EAD_0112 a 3101_CAMP. REG)'!$F$463:$J$688,5,FALSE)</f>
        <v>184.28091221052631</v>
      </c>
      <c r="AN206" s="124">
        <f>VLOOKUP(UNG[[#This Row],[CURSO]],'[1]POS_EAD_0112 a 3101_CAMP. REG)'!$F$463:$L$688,7,FALSE)</f>
        <v>0.45</v>
      </c>
      <c r="AO206" s="71">
        <f>VLOOKUP(UNG[[#This Row],[CURSO]],'[1]POS_EAD_0112 a 3101_CAMP. REG)'!$F$463:$M$688,8,FALSE)</f>
        <v>91.22</v>
      </c>
      <c r="AP206" s="124">
        <f>VLOOKUP(UNG[[#This Row],[CURSO]],'[1]POS_EAD_0112 a 3101_CAMP. REG)'!$F$463:$P$688,11,FALSE)</f>
        <v>0.5</v>
      </c>
      <c r="AQ206" s="71">
        <f>VLOOKUP(UNG[[#This Row],[CURSO]],'[1]POS_EAD_0112 a 3101_CAMP. REG)'!$F$463:$Q$688,12,FALSE)</f>
        <v>82.93</v>
      </c>
      <c r="AS206" s="121" t="s">
        <v>79</v>
      </c>
      <c r="AT206" s="69" t="s">
        <v>19</v>
      </c>
      <c r="AU206" s="69" t="str">
        <f>VLOOKUP(UNINASSAU[[#This Row],[CURSO]],'[1]POS_EAD_0112 a 3101_CAMP. REG)'!$F$690:$G$915,2,FALSE)</f>
        <v>Humanas</v>
      </c>
      <c r="AV206" s="69">
        <f>VLOOKUP(UNINASSAU[[#This Row],[CURSO]],'[1]POS_EAD_0112 a 3101_CAMP. REG)'!$F$690:$H$915,3,FALSE)</f>
        <v>12</v>
      </c>
      <c r="AW206" s="69">
        <f>VLOOKUP(UNINASSAU[[#This Row],[CURSO]],'[1]POS_EAD_0112 a 3101_CAMP. REG)'!$F$690:$I$915,4,FALSE)</f>
        <v>19</v>
      </c>
      <c r="AX206" s="73">
        <f>VLOOKUP(UNINASSAU[[#This Row],[CURSO]],'[1]POS_EAD_0112 a 3101_CAMP. REG)'!$F$690:$J$915,5,FALSE)</f>
        <v>184.28091221052631</v>
      </c>
      <c r="AY206" s="72">
        <f>VLOOKUP(UNINASSAU[[#This Row],[CURSO]],'[1]POS_EAD_0112 a 3101_CAMP. REG)'!$F$690:$L$915,7,FALSE)</f>
        <v>0.45</v>
      </c>
      <c r="AZ206" s="73">
        <f>VLOOKUP(UNINASSAU[[#This Row],[CURSO]],'[1]POS_EAD_0112 a 3101_CAMP. REG)'!$F$690:$N$915,8,FALSE)</f>
        <v>91.22</v>
      </c>
      <c r="BA206" s="72">
        <f>VLOOKUP(UNINASSAU[[#This Row],[CURSO]],'[1]POS_EAD_0112 a 3101_CAMP. REG)'!$F$690:$P$915,11,FALSE)</f>
        <v>0.5</v>
      </c>
      <c r="BB206" s="73">
        <f>VLOOKUP(UNINASSAU[[#This Row],[CURSO]],'[1]POS_EAD_0112 a 3101_CAMP. REG)'!$F$690:$Q$915,12,FALSE)</f>
        <v>82.93</v>
      </c>
      <c r="BD206" s="104">
        <v>203</v>
      </c>
      <c r="BE206" s="121" t="s">
        <v>79</v>
      </c>
      <c r="BF206" s="69" t="s">
        <v>19</v>
      </c>
    </row>
    <row r="207" spans="12:58" x14ac:dyDescent="0.25">
      <c r="L207" s="121" t="s">
        <v>83</v>
      </c>
      <c r="M207" s="69" t="s">
        <v>19</v>
      </c>
      <c r="N207" s="69" t="str">
        <f>VLOOKUP($L$4,'[1]POS_EAD_0112 a 3101_CAMP. REG)'!$F$5:$G$231,2,FALSE)</f>
        <v>Humanas</v>
      </c>
      <c r="O207" s="69">
        <f>VLOOKUP(L207,'[1]POS_EAD_0112 a 3101_CAMP. REG)'!$F$5:$H$231,3,FALSE)</f>
        <v>12</v>
      </c>
      <c r="P207" s="68">
        <f>VLOOKUP(L207,'[1]POS_EAD_0112 a 3101_CAMP. REG)'!$F$5:$I$231,4,FALSE)</f>
        <v>19</v>
      </c>
      <c r="Q207" s="73">
        <f>VLOOKUP(L207,'[1]POS_EAD_0112 a 3101_CAMP. REG)'!$F$5:$J$231,5,FALSE)</f>
        <v>184.28091221052631</v>
      </c>
      <c r="R207" s="124">
        <f>VLOOKUP(L207,'[1]POS_EAD_0112 a 3101_CAMP. REG)'!$F$5:$L$231,7,FALSE)</f>
        <v>0.45</v>
      </c>
      <c r="S207" s="73">
        <f>VLOOKUP(L207,'[1]POS_EAD_0112 a 3101_CAMP. REG)'!$F$5:$M$231,8,FALSE)</f>
        <v>91.22</v>
      </c>
      <c r="T207" s="124">
        <f>VLOOKUP(L207,'[1]POS_EAD_0112 a 3101_CAMP. REG)'!$F$5:$P$231,11,FALSE)</f>
        <v>0.5</v>
      </c>
      <c r="U207" s="73">
        <f>VLOOKUP(L207,'[1]POS_EAD_0112 a 3101_CAMP. REG)'!$F$5:$Q$231,12,FALSE)</f>
        <v>82.93</v>
      </c>
      <c r="W207" s="121" t="s">
        <v>83</v>
      </c>
      <c r="X207" s="69" t="s">
        <v>19</v>
      </c>
      <c r="Y207" s="69" t="str">
        <f>VLOOKUP(W207,'[1]POS_EAD_0112 a 3101_CAMP. REG)'!$F$231:$G$461,2,FALSE)</f>
        <v>Humanas</v>
      </c>
      <c r="Z207" s="68">
        <f>VLOOKUP(W207,'[1]POS_EAD_0112 a 3101_CAMP. REG)'!$F$231:$H$461,3,FALSE)</f>
        <v>12</v>
      </c>
      <c r="AA207" s="68">
        <f>VLOOKUP(W207,'[1]POS_EAD_0112 a 3101_CAMP. REG)'!$F$231:$I$461,4,FALSE)</f>
        <v>19</v>
      </c>
      <c r="AB207" s="73">
        <f>VLOOKUP(W207,'[1]POS_EAD_0112 a 3101_CAMP. REG)'!$F$231:$J$461,5,FALSE)</f>
        <v>207.609666</v>
      </c>
      <c r="AC207" s="72">
        <f>VLOOKUP(W207,'[1]POS_EAD_0112 a 3101_CAMP. REG)'!$F$231:$L$461,7,FALSE)</f>
        <v>0.45</v>
      </c>
      <c r="AD207" s="73">
        <f>VLOOKUP(W207,'[1]POS_EAD_0112 a 3101_CAMP. REG)'!$F$231:$M$461,8,FALSE)</f>
        <v>102.77</v>
      </c>
      <c r="AE207" s="72">
        <f>VLOOKUP(W207,'[1]POS_EAD_0112 a 3101_CAMP. REG)'!$F$231:$P$461,11,FALSE)</f>
        <v>0.5</v>
      </c>
      <c r="AF207" s="73">
        <f>VLOOKUP(W207,'[1]POS_EAD_0112 a 3101_CAMP. REG)'!$F$231:$Q$461,12,FALSE)</f>
        <v>93.42</v>
      </c>
      <c r="AH207" s="121" t="s">
        <v>83</v>
      </c>
      <c r="AI207" s="69" t="s">
        <v>19</v>
      </c>
      <c r="AJ207" s="68" t="str">
        <f>VLOOKUP(UNG[[#This Row],[CURSO]],'[1]POS_EAD_0112 a 3101_CAMP. REG)'!$F$463:$G$688,2,FALSE)</f>
        <v>Humanas</v>
      </c>
      <c r="AK207" s="68">
        <f>VLOOKUP(UNG[[#This Row],[CURSO]],'[1]POS_EAD_0112 a 3101_CAMP. REG)'!$F$463:$H$688,3,FALSE)</f>
        <v>12</v>
      </c>
      <c r="AL207" s="68">
        <f>VLOOKUP(UNG[[#This Row],[CURSO]],'[1]POS_EAD_0112 a 3101_CAMP. REG)'!$F$463:$I$688,4,FALSE)</f>
        <v>19</v>
      </c>
      <c r="AM207" s="71">
        <f>VLOOKUP(UNG[[#This Row],[CURSO]],'[1]POS_EAD_0112 a 3101_CAMP. REG)'!$F$463:$J$688,5,FALSE)</f>
        <v>184.28091221052631</v>
      </c>
      <c r="AN207" s="124">
        <f>VLOOKUP(UNG[[#This Row],[CURSO]],'[1]POS_EAD_0112 a 3101_CAMP. REG)'!$F$463:$L$688,7,FALSE)</f>
        <v>0.45</v>
      </c>
      <c r="AO207" s="71">
        <f>VLOOKUP(UNG[[#This Row],[CURSO]],'[1]POS_EAD_0112 a 3101_CAMP. REG)'!$F$463:$M$688,8,FALSE)</f>
        <v>91.22</v>
      </c>
      <c r="AP207" s="124">
        <f>VLOOKUP(UNG[[#This Row],[CURSO]],'[1]POS_EAD_0112 a 3101_CAMP. REG)'!$F$463:$P$688,11,FALSE)</f>
        <v>0.5</v>
      </c>
      <c r="AQ207" s="71">
        <f>VLOOKUP(UNG[[#This Row],[CURSO]],'[1]POS_EAD_0112 a 3101_CAMP. REG)'!$F$463:$Q$688,12,FALSE)</f>
        <v>82.93</v>
      </c>
      <c r="AS207" s="121" t="s">
        <v>83</v>
      </c>
      <c r="AT207" s="69" t="s">
        <v>19</v>
      </c>
      <c r="AU207" s="69" t="str">
        <f>VLOOKUP(UNINASSAU[[#This Row],[CURSO]],'[1]POS_EAD_0112 a 3101_CAMP. REG)'!$F$690:$G$915,2,FALSE)</f>
        <v>Humanas</v>
      </c>
      <c r="AV207" s="69">
        <f>VLOOKUP(UNINASSAU[[#This Row],[CURSO]],'[1]POS_EAD_0112 a 3101_CAMP. REG)'!$F$690:$H$915,3,FALSE)</f>
        <v>12</v>
      </c>
      <c r="AW207" s="69">
        <f>VLOOKUP(UNINASSAU[[#This Row],[CURSO]],'[1]POS_EAD_0112 a 3101_CAMP. REG)'!$F$690:$I$915,4,FALSE)</f>
        <v>19</v>
      </c>
      <c r="AX207" s="73">
        <f>VLOOKUP(UNINASSAU[[#This Row],[CURSO]],'[1]POS_EAD_0112 a 3101_CAMP. REG)'!$F$690:$J$915,5,FALSE)</f>
        <v>184.28091221052631</v>
      </c>
      <c r="AY207" s="72">
        <f>VLOOKUP(UNINASSAU[[#This Row],[CURSO]],'[1]POS_EAD_0112 a 3101_CAMP. REG)'!$F$690:$L$915,7,FALSE)</f>
        <v>0.45</v>
      </c>
      <c r="AZ207" s="73">
        <f>VLOOKUP(UNINASSAU[[#This Row],[CURSO]],'[1]POS_EAD_0112 a 3101_CAMP. REG)'!$F$690:$N$915,8,FALSE)</f>
        <v>91.22</v>
      </c>
      <c r="BA207" s="72">
        <f>VLOOKUP(UNINASSAU[[#This Row],[CURSO]],'[1]POS_EAD_0112 a 3101_CAMP. REG)'!$F$690:$P$915,11,FALSE)</f>
        <v>0.5</v>
      </c>
      <c r="BB207" s="73">
        <f>VLOOKUP(UNINASSAU[[#This Row],[CURSO]],'[1]POS_EAD_0112 a 3101_CAMP. REG)'!$F$690:$Q$915,12,FALSE)</f>
        <v>82.93</v>
      </c>
      <c r="BD207" s="104">
        <v>204</v>
      </c>
      <c r="BE207" s="121" t="s">
        <v>83</v>
      </c>
      <c r="BF207" s="69" t="s">
        <v>19</v>
      </c>
    </row>
    <row r="208" spans="12:58" x14ac:dyDescent="0.25">
      <c r="L208" s="121" t="s">
        <v>86</v>
      </c>
      <c r="M208" s="69" t="s">
        <v>19</v>
      </c>
      <c r="N208" s="69" t="str">
        <f>VLOOKUP($L$4,'[1]POS_EAD_0112 a 3101_CAMP. REG)'!$F$5:$G$231,2,FALSE)</f>
        <v>Humanas</v>
      </c>
      <c r="O208" s="69">
        <f>VLOOKUP(L208,'[1]POS_EAD_0112 a 3101_CAMP. REG)'!$F$5:$H$231,3,FALSE)</f>
        <v>12</v>
      </c>
      <c r="P208" s="68">
        <f>VLOOKUP(L208,'[1]POS_EAD_0112 a 3101_CAMP. REG)'!$F$5:$I$231,4,FALSE)</f>
        <v>19</v>
      </c>
      <c r="Q208" s="73">
        <f>VLOOKUP(L208,'[1]POS_EAD_0112 a 3101_CAMP. REG)'!$F$5:$J$231,5,FALSE)</f>
        <v>184.28091221052631</v>
      </c>
      <c r="R208" s="124">
        <f>VLOOKUP(L208,'[1]POS_EAD_0112 a 3101_CAMP. REG)'!$F$5:$L$231,7,FALSE)</f>
        <v>0.45</v>
      </c>
      <c r="S208" s="73">
        <f>VLOOKUP(L208,'[1]POS_EAD_0112 a 3101_CAMP. REG)'!$F$5:$M$231,8,FALSE)</f>
        <v>91.22</v>
      </c>
      <c r="T208" s="124">
        <f>VLOOKUP(L208,'[1]POS_EAD_0112 a 3101_CAMP. REG)'!$F$5:$P$231,11,FALSE)</f>
        <v>0.5</v>
      </c>
      <c r="U208" s="73">
        <f>VLOOKUP(L208,'[1]POS_EAD_0112 a 3101_CAMP. REG)'!$F$5:$Q$231,12,FALSE)</f>
        <v>82.93</v>
      </c>
      <c r="W208" s="121" t="s">
        <v>86</v>
      </c>
      <c r="X208" s="69" t="s">
        <v>19</v>
      </c>
      <c r="Y208" s="69" t="str">
        <f>VLOOKUP(W208,'[1]POS_EAD_0112 a 3101_CAMP. REG)'!$F$231:$G$461,2,FALSE)</f>
        <v>Humanas</v>
      </c>
      <c r="Z208" s="68">
        <f>VLOOKUP(W208,'[1]POS_EAD_0112 a 3101_CAMP. REG)'!$F$231:$H$461,3,FALSE)</f>
        <v>12</v>
      </c>
      <c r="AA208" s="68">
        <f>VLOOKUP(W208,'[1]POS_EAD_0112 a 3101_CAMP. REG)'!$F$231:$I$461,4,FALSE)</f>
        <v>19</v>
      </c>
      <c r="AB208" s="73">
        <f>VLOOKUP(W208,'[1]POS_EAD_0112 a 3101_CAMP. REG)'!$F$231:$J$461,5,FALSE)</f>
        <v>207.609666</v>
      </c>
      <c r="AC208" s="72">
        <f>VLOOKUP(W208,'[1]POS_EAD_0112 a 3101_CAMP. REG)'!$F$231:$L$461,7,FALSE)</f>
        <v>0.45</v>
      </c>
      <c r="AD208" s="73">
        <f>VLOOKUP(W208,'[1]POS_EAD_0112 a 3101_CAMP. REG)'!$F$231:$M$461,8,FALSE)</f>
        <v>102.77</v>
      </c>
      <c r="AE208" s="72">
        <f>VLOOKUP(W208,'[1]POS_EAD_0112 a 3101_CAMP. REG)'!$F$231:$P$461,11,FALSE)</f>
        <v>0.5</v>
      </c>
      <c r="AF208" s="73">
        <f>VLOOKUP(W208,'[1]POS_EAD_0112 a 3101_CAMP. REG)'!$F$231:$Q$461,12,FALSE)</f>
        <v>93.42</v>
      </c>
      <c r="AH208" s="121" t="s">
        <v>86</v>
      </c>
      <c r="AI208" s="69" t="s">
        <v>19</v>
      </c>
      <c r="AJ208" s="68" t="str">
        <f>VLOOKUP(UNG[[#This Row],[CURSO]],'[1]POS_EAD_0112 a 3101_CAMP. REG)'!$F$463:$G$688,2,FALSE)</f>
        <v>Humanas</v>
      </c>
      <c r="AK208" s="68">
        <f>VLOOKUP(UNG[[#This Row],[CURSO]],'[1]POS_EAD_0112 a 3101_CAMP. REG)'!$F$463:$H$688,3,FALSE)</f>
        <v>12</v>
      </c>
      <c r="AL208" s="68">
        <f>VLOOKUP(UNG[[#This Row],[CURSO]],'[1]POS_EAD_0112 a 3101_CAMP. REG)'!$F$463:$I$688,4,FALSE)</f>
        <v>19</v>
      </c>
      <c r="AM208" s="71">
        <f>VLOOKUP(UNG[[#This Row],[CURSO]],'[1]POS_EAD_0112 a 3101_CAMP. REG)'!$F$463:$J$688,5,FALSE)</f>
        <v>184.28091221052631</v>
      </c>
      <c r="AN208" s="124">
        <f>VLOOKUP(UNG[[#This Row],[CURSO]],'[1]POS_EAD_0112 a 3101_CAMP. REG)'!$F$463:$L$688,7,FALSE)</f>
        <v>0.45</v>
      </c>
      <c r="AO208" s="71">
        <f>VLOOKUP(UNG[[#This Row],[CURSO]],'[1]POS_EAD_0112 a 3101_CAMP. REG)'!$F$463:$M$688,8,FALSE)</f>
        <v>91.22</v>
      </c>
      <c r="AP208" s="124">
        <f>VLOOKUP(UNG[[#This Row],[CURSO]],'[1]POS_EAD_0112 a 3101_CAMP. REG)'!$F$463:$P$688,11,FALSE)</f>
        <v>0.5</v>
      </c>
      <c r="AQ208" s="71">
        <f>VLOOKUP(UNG[[#This Row],[CURSO]],'[1]POS_EAD_0112 a 3101_CAMP. REG)'!$F$463:$Q$688,12,FALSE)</f>
        <v>82.93</v>
      </c>
      <c r="AS208" s="121" t="s">
        <v>86</v>
      </c>
      <c r="AT208" s="69" t="s">
        <v>19</v>
      </c>
      <c r="AU208" s="69" t="str">
        <f>VLOOKUP(UNINASSAU[[#This Row],[CURSO]],'[1]POS_EAD_0112 a 3101_CAMP. REG)'!$F$690:$G$915,2,FALSE)</f>
        <v>Humanas</v>
      </c>
      <c r="AV208" s="69">
        <f>VLOOKUP(UNINASSAU[[#This Row],[CURSO]],'[1]POS_EAD_0112 a 3101_CAMP. REG)'!$F$690:$H$915,3,FALSE)</f>
        <v>12</v>
      </c>
      <c r="AW208" s="69">
        <f>VLOOKUP(UNINASSAU[[#This Row],[CURSO]],'[1]POS_EAD_0112 a 3101_CAMP. REG)'!$F$690:$I$915,4,FALSE)</f>
        <v>19</v>
      </c>
      <c r="AX208" s="73">
        <f>VLOOKUP(UNINASSAU[[#This Row],[CURSO]],'[1]POS_EAD_0112 a 3101_CAMP. REG)'!$F$690:$J$915,5,FALSE)</f>
        <v>184.28091221052631</v>
      </c>
      <c r="AY208" s="72">
        <f>VLOOKUP(UNINASSAU[[#This Row],[CURSO]],'[1]POS_EAD_0112 a 3101_CAMP. REG)'!$F$690:$L$915,7,FALSE)</f>
        <v>0.45</v>
      </c>
      <c r="AZ208" s="73">
        <f>VLOOKUP(UNINASSAU[[#This Row],[CURSO]],'[1]POS_EAD_0112 a 3101_CAMP. REG)'!$F$690:$N$915,8,FALSE)</f>
        <v>91.22</v>
      </c>
      <c r="BA208" s="72">
        <f>VLOOKUP(UNINASSAU[[#This Row],[CURSO]],'[1]POS_EAD_0112 a 3101_CAMP. REG)'!$F$690:$P$915,11,FALSE)</f>
        <v>0.5</v>
      </c>
      <c r="BB208" s="73">
        <f>VLOOKUP(UNINASSAU[[#This Row],[CURSO]],'[1]POS_EAD_0112 a 3101_CAMP. REG)'!$F$690:$Q$915,12,FALSE)</f>
        <v>82.93</v>
      </c>
      <c r="BD208" s="104">
        <v>205</v>
      </c>
      <c r="BE208" s="121" t="s">
        <v>86</v>
      </c>
      <c r="BF208" s="69" t="s">
        <v>19</v>
      </c>
    </row>
    <row r="209" spans="12:58" x14ac:dyDescent="0.25">
      <c r="L209" s="121" t="s">
        <v>98</v>
      </c>
      <c r="M209" s="69" t="s">
        <v>19</v>
      </c>
      <c r="N209" s="69" t="str">
        <f>VLOOKUP($L$4,'[1]POS_EAD_0112 a 3101_CAMP. REG)'!$F$5:$G$231,2,FALSE)</f>
        <v>Humanas</v>
      </c>
      <c r="O209" s="69">
        <f>VLOOKUP(L209,'[1]POS_EAD_0112 a 3101_CAMP. REG)'!$F$5:$H$231,3,FALSE)</f>
        <v>12</v>
      </c>
      <c r="P209" s="68">
        <f>VLOOKUP(L209,'[1]POS_EAD_0112 a 3101_CAMP. REG)'!$F$5:$I$231,4,FALSE)</f>
        <v>19</v>
      </c>
      <c r="Q209" s="73">
        <f>VLOOKUP(L209,'[1]POS_EAD_0112 a 3101_CAMP. REG)'!$F$5:$J$231,5,FALSE)</f>
        <v>277.58266800000001</v>
      </c>
      <c r="R209" s="124">
        <f>VLOOKUP(L209,'[1]POS_EAD_0112 a 3101_CAMP. REG)'!$F$5:$L$231,7,FALSE)</f>
        <v>0.45</v>
      </c>
      <c r="S209" s="73">
        <f>VLOOKUP(L209,'[1]POS_EAD_0112 a 3101_CAMP. REG)'!$F$5:$M$231,8,FALSE)</f>
        <v>137.4</v>
      </c>
      <c r="T209" s="124">
        <f>VLOOKUP(L209,'[1]POS_EAD_0112 a 3101_CAMP. REG)'!$F$5:$P$231,11,FALSE)</f>
        <v>0.5</v>
      </c>
      <c r="U209" s="73">
        <f>VLOOKUP(L209,'[1]POS_EAD_0112 a 3101_CAMP. REG)'!$F$5:$Q$231,12,FALSE)</f>
        <v>124.91</v>
      </c>
      <c r="W209" s="121" t="s">
        <v>98</v>
      </c>
      <c r="X209" s="69" t="s">
        <v>19</v>
      </c>
      <c r="Y209" s="69" t="str">
        <f>VLOOKUP(W209,'[1]POS_EAD_0112 a 3101_CAMP. REG)'!$F$231:$G$461,2,FALSE)</f>
        <v>Saúde</v>
      </c>
      <c r="Z209" s="68">
        <f>VLOOKUP(W209,'[1]POS_EAD_0112 a 3101_CAMP. REG)'!$F$231:$H$461,3,FALSE)</f>
        <v>12</v>
      </c>
      <c r="AA209" s="68">
        <f>VLOOKUP(W209,'[1]POS_EAD_0112 a 3101_CAMP. REG)'!$F$231:$I$461,4,FALSE)</f>
        <v>19</v>
      </c>
      <c r="AB209" s="73">
        <f>VLOOKUP(W209,'[1]POS_EAD_0112 a 3101_CAMP. REG)'!$F$231:$J$461,5,FALSE)</f>
        <v>300.91749900000002</v>
      </c>
      <c r="AC209" s="72">
        <f>VLOOKUP(W209,'[1]POS_EAD_0112 a 3101_CAMP. REG)'!$F$231:$L$461,7,FALSE)</f>
        <v>0.45</v>
      </c>
      <c r="AD209" s="73">
        <f>VLOOKUP(W209,'[1]POS_EAD_0112 a 3101_CAMP. REG)'!$F$231:$M$461,8,FALSE)</f>
        <v>148.94999999999999</v>
      </c>
      <c r="AE209" s="72">
        <f>VLOOKUP(W209,'[1]POS_EAD_0112 a 3101_CAMP. REG)'!$F$231:$P$461,11,FALSE)</f>
        <v>0.5</v>
      </c>
      <c r="AF209" s="73">
        <f>VLOOKUP(W209,'[1]POS_EAD_0112 a 3101_CAMP. REG)'!$F$231:$Q$461,12,FALSE)</f>
        <v>135.41</v>
      </c>
      <c r="AH209" s="121" t="s">
        <v>98</v>
      </c>
      <c r="AI209" s="69" t="s">
        <v>19</v>
      </c>
      <c r="AJ209" s="68" t="str">
        <f>VLOOKUP(UNG[[#This Row],[CURSO]],'[1]POS_EAD_0112 a 3101_CAMP. REG)'!$F$463:$G$688,2,FALSE)</f>
        <v>Saúde</v>
      </c>
      <c r="AK209" s="68">
        <f>VLOOKUP(UNG[[#This Row],[CURSO]],'[1]POS_EAD_0112 a 3101_CAMP. REG)'!$F$463:$H$688,3,FALSE)</f>
        <v>12</v>
      </c>
      <c r="AL209" s="68">
        <f>VLOOKUP(UNG[[#This Row],[CURSO]],'[1]POS_EAD_0112 a 3101_CAMP. REG)'!$F$463:$I$688,4,FALSE)</f>
        <v>19</v>
      </c>
      <c r="AM209" s="71">
        <f>VLOOKUP(UNG[[#This Row],[CURSO]],'[1]POS_EAD_0112 a 3101_CAMP. REG)'!$F$463:$J$688,5,FALSE)</f>
        <v>277.58266800000001</v>
      </c>
      <c r="AN209" s="124">
        <f>VLOOKUP(UNG[[#This Row],[CURSO]],'[1]POS_EAD_0112 a 3101_CAMP. REG)'!$F$463:$L$688,7,FALSE)</f>
        <v>0.45</v>
      </c>
      <c r="AO209" s="71">
        <f>VLOOKUP(UNG[[#This Row],[CURSO]],'[1]POS_EAD_0112 a 3101_CAMP. REG)'!$F$463:$M$688,8,FALSE)</f>
        <v>137.4</v>
      </c>
      <c r="AP209" s="124">
        <f>VLOOKUP(UNG[[#This Row],[CURSO]],'[1]POS_EAD_0112 a 3101_CAMP. REG)'!$F$463:$P$688,11,FALSE)</f>
        <v>0.5</v>
      </c>
      <c r="AQ209" s="71">
        <f>VLOOKUP(UNG[[#This Row],[CURSO]],'[1]POS_EAD_0112 a 3101_CAMP. REG)'!$F$463:$Q$688,12,FALSE)</f>
        <v>124.91</v>
      </c>
      <c r="AS209" s="121" t="s">
        <v>98</v>
      </c>
      <c r="AT209" s="69" t="s">
        <v>19</v>
      </c>
      <c r="AU209" s="69" t="str">
        <f>VLOOKUP(UNINASSAU[[#This Row],[CURSO]],'[1]POS_EAD_0112 a 3101_CAMP. REG)'!$F$690:$G$915,2,FALSE)</f>
        <v>Saúde</v>
      </c>
      <c r="AV209" s="69">
        <f>VLOOKUP(UNINASSAU[[#This Row],[CURSO]],'[1]POS_EAD_0112 a 3101_CAMP. REG)'!$F$690:$H$915,3,FALSE)</f>
        <v>12</v>
      </c>
      <c r="AW209" s="69">
        <f>VLOOKUP(UNINASSAU[[#This Row],[CURSO]],'[1]POS_EAD_0112 a 3101_CAMP. REG)'!$F$690:$I$915,4,FALSE)</f>
        <v>19</v>
      </c>
      <c r="AX209" s="73">
        <f>VLOOKUP(UNINASSAU[[#This Row],[CURSO]],'[1]POS_EAD_0112 a 3101_CAMP. REG)'!$F$690:$J$915,5,FALSE)</f>
        <v>277.58266800000001</v>
      </c>
      <c r="AY209" s="72">
        <f>VLOOKUP(UNINASSAU[[#This Row],[CURSO]],'[1]POS_EAD_0112 a 3101_CAMP. REG)'!$F$690:$L$915,7,FALSE)</f>
        <v>0.45</v>
      </c>
      <c r="AZ209" s="73">
        <f>VLOOKUP(UNINASSAU[[#This Row],[CURSO]],'[1]POS_EAD_0112 a 3101_CAMP. REG)'!$F$690:$N$915,8,FALSE)</f>
        <v>137.4</v>
      </c>
      <c r="BA209" s="72">
        <f>VLOOKUP(UNINASSAU[[#This Row],[CURSO]],'[1]POS_EAD_0112 a 3101_CAMP. REG)'!$F$690:$P$915,11,FALSE)</f>
        <v>0.5</v>
      </c>
      <c r="BB209" s="73">
        <f>VLOOKUP(UNINASSAU[[#This Row],[CURSO]],'[1]POS_EAD_0112 a 3101_CAMP. REG)'!$F$690:$Q$915,12,FALSE)</f>
        <v>124.91</v>
      </c>
      <c r="BD209" s="104">
        <v>206</v>
      </c>
      <c r="BE209" s="121" t="s">
        <v>98</v>
      </c>
      <c r="BF209" s="69" t="s">
        <v>19</v>
      </c>
    </row>
    <row r="210" spans="12:58" x14ac:dyDescent="0.25">
      <c r="L210" s="121" t="s">
        <v>116</v>
      </c>
      <c r="M210" s="69" t="s">
        <v>19</v>
      </c>
      <c r="N210" s="69" t="str">
        <f>VLOOKUP($L$4,'[1]POS_EAD_0112 a 3101_CAMP. REG)'!$F$5:$G$231,2,FALSE)</f>
        <v>Humanas</v>
      </c>
      <c r="O210" s="69">
        <f>VLOOKUP(L210,'[1]POS_EAD_0112 a 3101_CAMP. REG)'!$F$5:$H$231,3,FALSE)</f>
        <v>12</v>
      </c>
      <c r="P210" s="68">
        <f>VLOOKUP(L210,'[1]POS_EAD_0112 a 3101_CAMP. REG)'!$F$5:$I$231,4,FALSE)</f>
        <v>19</v>
      </c>
      <c r="Q210" s="73">
        <f>VLOOKUP(L210,'[1]POS_EAD_0112 a 3101_CAMP. REG)'!$F$5:$J$231,5,FALSE)</f>
        <v>184.28091221052631</v>
      </c>
      <c r="R210" s="124">
        <f>VLOOKUP(L210,'[1]POS_EAD_0112 a 3101_CAMP. REG)'!$F$5:$L$231,7,FALSE)</f>
        <v>0.45</v>
      </c>
      <c r="S210" s="73">
        <f>VLOOKUP(L210,'[1]POS_EAD_0112 a 3101_CAMP. REG)'!$F$5:$M$231,8,FALSE)</f>
        <v>91.22</v>
      </c>
      <c r="T210" s="124">
        <f>VLOOKUP(L210,'[1]POS_EAD_0112 a 3101_CAMP. REG)'!$F$5:$P$231,11,FALSE)</f>
        <v>0.5</v>
      </c>
      <c r="U210" s="73">
        <f>VLOOKUP(L210,'[1]POS_EAD_0112 a 3101_CAMP. REG)'!$F$5:$Q$231,12,FALSE)</f>
        <v>82.93</v>
      </c>
      <c r="W210" s="121" t="s">
        <v>116</v>
      </c>
      <c r="X210" s="69" t="s">
        <v>19</v>
      </c>
      <c r="Y210" s="69" t="str">
        <f>VLOOKUP(W210,'[1]POS_EAD_0112 a 3101_CAMP. REG)'!$F$231:$G$461,2,FALSE)</f>
        <v>Humanas</v>
      </c>
      <c r="Z210" s="68">
        <f>VLOOKUP(W210,'[1]POS_EAD_0112 a 3101_CAMP. REG)'!$F$231:$H$461,3,FALSE)</f>
        <v>12</v>
      </c>
      <c r="AA210" s="68">
        <f>VLOOKUP(W210,'[1]POS_EAD_0112 a 3101_CAMP. REG)'!$F$231:$I$461,4,FALSE)</f>
        <v>19</v>
      </c>
      <c r="AB210" s="73">
        <f>VLOOKUP(W210,'[1]POS_EAD_0112 a 3101_CAMP. REG)'!$F$231:$J$461,5,FALSE)</f>
        <v>207.609666</v>
      </c>
      <c r="AC210" s="72">
        <f>VLOOKUP(W210,'[1]POS_EAD_0112 a 3101_CAMP. REG)'!$F$231:$L$461,7,FALSE)</f>
        <v>0.45</v>
      </c>
      <c r="AD210" s="73">
        <f>VLOOKUP(W210,'[1]POS_EAD_0112 a 3101_CAMP. REG)'!$F$231:$M$461,8,FALSE)</f>
        <v>102.77</v>
      </c>
      <c r="AE210" s="72">
        <f>VLOOKUP(W210,'[1]POS_EAD_0112 a 3101_CAMP. REG)'!$F$231:$P$461,11,FALSE)</f>
        <v>0.5</v>
      </c>
      <c r="AF210" s="73">
        <f>VLOOKUP(W210,'[1]POS_EAD_0112 a 3101_CAMP. REG)'!$F$231:$Q$461,12,FALSE)</f>
        <v>93.42</v>
      </c>
      <c r="AH210" s="121" t="s">
        <v>116</v>
      </c>
      <c r="AI210" s="69" t="s">
        <v>19</v>
      </c>
      <c r="AJ210" s="68" t="str">
        <f>VLOOKUP(UNG[[#This Row],[CURSO]],'[1]POS_EAD_0112 a 3101_CAMP. REG)'!$F$463:$G$688,2,FALSE)</f>
        <v>Humanas</v>
      </c>
      <c r="AK210" s="68">
        <f>VLOOKUP(UNG[[#This Row],[CURSO]],'[1]POS_EAD_0112 a 3101_CAMP. REG)'!$F$463:$H$688,3,FALSE)</f>
        <v>12</v>
      </c>
      <c r="AL210" s="68">
        <f>VLOOKUP(UNG[[#This Row],[CURSO]],'[1]POS_EAD_0112 a 3101_CAMP. REG)'!$F$463:$I$688,4,FALSE)</f>
        <v>19</v>
      </c>
      <c r="AM210" s="71">
        <f>VLOOKUP(UNG[[#This Row],[CURSO]],'[1]POS_EAD_0112 a 3101_CAMP. REG)'!$F$463:$J$688,5,FALSE)</f>
        <v>184.28091221052631</v>
      </c>
      <c r="AN210" s="124">
        <f>VLOOKUP(UNG[[#This Row],[CURSO]],'[1]POS_EAD_0112 a 3101_CAMP. REG)'!$F$463:$L$688,7,FALSE)</f>
        <v>0.45</v>
      </c>
      <c r="AO210" s="71">
        <f>VLOOKUP(UNG[[#This Row],[CURSO]],'[1]POS_EAD_0112 a 3101_CAMP. REG)'!$F$463:$M$688,8,FALSE)</f>
        <v>91.22</v>
      </c>
      <c r="AP210" s="124">
        <f>VLOOKUP(UNG[[#This Row],[CURSO]],'[1]POS_EAD_0112 a 3101_CAMP. REG)'!$F$463:$P$688,11,FALSE)</f>
        <v>0.5</v>
      </c>
      <c r="AQ210" s="71">
        <f>VLOOKUP(UNG[[#This Row],[CURSO]],'[1]POS_EAD_0112 a 3101_CAMP. REG)'!$F$463:$Q$688,12,FALSE)</f>
        <v>82.93</v>
      </c>
      <c r="AS210" s="121" t="s">
        <v>116</v>
      </c>
      <c r="AT210" s="69" t="s">
        <v>19</v>
      </c>
      <c r="AU210" s="69" t="str">
        <f>VLOOKUP(UNINASSAU[[#This Row],[CURSO]],'[1]POS_EAD_0112 a 3101_CAMP. REG)'!$F$690:$G$915,2,FALSE)</f>
        <v>Humanas</v>
      </c>
      <c r="AV210" s="69">
        <f>VLOOKUP(UNINASSAU[[#This Row],[CURSO]],'[1]POS_EAD_0112 a 3101_CAMP. REG)'!$F$690:$H$915,3,FALSE)</f>
        <v>12</v>
      </c>
      <c r="AW210" s="69">
        <f>VLOOKUP(UNINASSAU[[#This Row],[CURSO]],'[1]POS_EAD_0112 a 3101_CAMP. REG)'!$F$690:$I$915,4,FALSE)</f>
        <v>19</v>
      </c>
      <c r="AX210" s="73">
        <f>VLOOKUP(UNINASSAU[[#This Row],[CURSO]],'[1]POS_EAD_0112 a 3101_CAMP. REG)'!$F$690:$J$915,5,FALSE)</f>
        <v>184.28091221052631</v>
      </c>
      <c r="AY210" s="72">
        <f>VLOOKUP(UNINASSAU[[#This Row],[CURSO]],'[1]POS_EAD_0112 a 3101_CAMP. REG)'!$F$690:$L$915,7,FALSE)</f>
        <v>0.45</v>
      </c>
      <c r="AZ210" s="73">
        <f>VLOOKUP(UNINASSAU[[#This Row],[CURSO]],'[1]POS_EAD_0112 a 3101_CAMP. REG)'!$F$690:$N$915,8,FALSE)</f>
        <v>91.22</v>
      </c>
      <c r="BA210" s="72">
        <f>VLOOKUP(UNINASSAU[[#This Row],[CURSO]],'[1]POS_EAD_0112 a 3101_CAMP. REG)'!$F$690:$P$915,11,FALSE)</f>
        <v>0.5</v>
      </c>
      <c r="BB210" s="73">
        <f>VLOOKUP(UNINASSAU[[#This Row],[CURSO]],'[1]POS_EAD_0112 a 3101_CAMP. REG)'!$F$690:$Q$915,12,FALSE)</f>
        <v>82.93</v>
      </c>
      <c r="BD210" s="104">
        <v>207</v>
      </c>
      <c r="BE210" s="121" t="s">
        <v>116</v>
      </c>
      <c r="BF210" s="69" t="s">
        <v>19</v>
      </c>
    </row>
    <row r="211" spans="12:58" x14ac:dyDescent="0.25">
      <c r="L211" s="121" t="s">
        <v>105</v>
      </c>
      <c r="M211" s="69" t="s">
        <v>19</v>
      </c>
      <c r="N211" s="69" t="str">
        <f>VLOOKUP($L$4,'[1]POS_EAD_0112 a 3101_CAMP. REG)'!$F$5:$G$231,2,FALSE)</f>
        <v>Humanas</v>
      </c>
      <c r="O211" s="69">
        <f>VLOOKUP(L211,'[1]POS_EAD_0112 a 3101_CAMP. REG)'!$F$5:$H$231,3,FALSE)</f>
        <v>6</v>
      </c>
      <c r="P211" s="68">
        <f>VLOOKUP(L211,'[1]POS_EAD_0112 a 3101_CAMP. REG)'!$F$5:$I$231,4,FALSE)</f>
        <v>13</v>
      </c>
      <c r="Q211" s="73">
        <f>VLOOKUP(L211,'[1]POS_EAD_0112 a 3101_CAMP. REG)'!$F$5:$J$231,5,FALSE)</f>
        <v>269.33202599999998</v>
      </c>
      <c r="R211" s="124">
        <f>VLOOKUP(L211,'[1]POS_EAD_0112 a 3101_CAMP. REG)'!$F$5:$L$231,7,FALSE)</f>
        <v>0.45</v>
      </c>
      <c r="S211" s="73">
        <f>VLOOKUP(L211,'[1]POS_EAD_0112 a 3101_CAMP. REG)'!$F$5:$M$231,8,FALSE)</f>
        <v>133.32</v>
      </c>
      <c r="T211" s="124">
        <f>VLOOKUP(L211,'[1]POS_EAD_0112 a 3101_CAMP. REG)'!$F$5:$P$231,11,FALSE)</f>
        <v>0.5</v>
      </c>
      <c r="U211" s="73">
        <f>VLOOKUP(L211,'[1]POS_EAD_0112 a 3101_CAMP. REG)'!$F$5:$Q$231,12,FALSE)</f>
        <v>121.2</v>
      </c>
      <c r="W211" s="121" t="s">
        <v>105</v>
      </c>
      <c r="X211" s="69" t="s">
        <v>19</v>
      </c>
      <c r="Y211" s="69" t="str">
        <f>VLOOKUP(W211,'[1]POS_EAD_0112 a 3101_CAMP. REG)'!$F$231:$G$461,2,FALSE)</f>
        <v>Humanas</v>
      </c>
      <c r="Z211" s="68">
        <f>VLOOKUP(W211,'[1]POS_EAD_0112 a 3101_CAMP. REG)'!$F$231:$H$461,3,FALSE)</f>
        <v>6</v>
      </c>
      <c r="AA211" s="68">
        <f>VLOOKUP(W211,'[1]POS_EAD_0112 a 3101_CAMP. REG)'!$F$231:$I$461,4,FALSE)</f>
        <v>13</v>
      </c>
      <c r="AB211" s="73">
        <f>VLOOKUP(W211,'[1]POS_EAD_0112 a 3101_CAMP. REG)'!$F$231:$J$461,5,FALSE)</f>
        <v>303.42628200000001</v>
      </c>
      <c r="AC211" s="72">
        <f>VLOOKUP(W211,'[1]POS_EAD_0112 a 3101_CAMP. REG)'!$F$231:$L$461,7,FALSE)</f>
        <v>0.45</v>
      </c>
      <c r="AD211" s="73">
        <f>VLOOKUP(W211,'[1]POS_EAD_0112 a 3101_CAMP. REG)'!$F$231:$M$461,8,FALSE)</f>
        <v>150.19999999999999</v>
      </c>
      <c r="AE211" s="72">
        <f>VLOOKUP(W211,'[1]POS_EAD_0112 a 3101_CAMP. REG)'!$F$231:$P$461,11,FALSE)</f>
        <v>0.5</v>
      </c>
      <c r="AF211" s="73">
        <f>VLOOKUP(W211,'[1]POS_EAD_0112 a 3101_CAMP. REG)'!$F$231:$Q$461,12,FALSE)</f>
        <v>136.54</v>
      </c>
      <c r="AH211" s="121" t="s">
        <v>105</v>
      </c>
      <c r="AI211" s="69" t="s">
        <v>19</v>
      </c>
      <c r="AJ211" s="68" t="str">
        <f>VLOOKUP(UNG[[#This Row],[CURSO]],'[1]POS_EAD_0112 a 3101_CAMP. REG)'!$F$463:$G$688,2,FALSE)</f>
        <v>Humanas</v>
      </c>
      <c r="AK211" s="68">
        <f>VLOOKUP(UNG[[#This Row],[CURSO]],'[1]POS_EAD_0112 a 3101_CAMP. REG)'!$F$463:$H$688,3,FALSE)</f>
        <v>6</v>
      </c>
      <c r="AL211" s="68">
        <f>VLOOKUP(UNG[[#This Row],[CURSO]],'[1]POS_EAD_0112 a 3101_CAMP. REG)'!$F$463:$I$688,4,FALSE)</f>
        <v>13</v>
      </c>
      <c r="AM211" s="71">
        <f>VLOOKUP(UNG[[#This Row],[CURSO]],'[1]POS_EAD_0112 a 3101_CAMP. REG)'!$F$463:$J$688,5,FALSE)</f>
        <v>269.33202599999998</v>
      </c>
      <c r="AN211" s="124">
        <f>VLOOKUP(UNG[[#This Row],[CURSO]],'[1]POS_EAD_0112 a 3101_CAMP. REG)'!$F$463:$L$688,7,FALSE)</f>
        <v>0.45</v>
      </c>
      <c r="AO211" s="71">
        <f>VLOOKUP(UNG[[#This Row],[CURSO]],'[1]POS_EAD_0112 a 3101_CAMP. REG)'!$F$463:$M$688,8,FALSE)</f>
        <v>133.32</v>
      </c>
      <c r="AP211" s="124">
        <f>VLOOKUP(UNG[[#This Row],[CURSO]],'[1]POS_EAD_0112 a 3101_CAMP. REG)'!$F$463:$P$688,11,FALSE)</f>
        <v>0.5</v>
      </c>
      <c r="AQ211" s="71">
        <f>VLOOKUP(UNG[[#This Row],[CURSO]],'[1]POS_EAD_0112 a 3101_CAMP. REG)'!$F$463:$Q$688,12,FALSE)</f>
        <v>121.2</v>
      </c>
      <c r="AS211" s="121" t="s">
        <v>105</v>
      </c>
      <c r="AT211" s="69" t="s">
        <v>19</v>
      </c>
      <c r="AU211" s="69" t="str">
        <f>VLOOKUP(UNINASSAU[[#This Row],[CURSO]],'[1]POS_EAD_0112 a 3101_CAMP. REG)'!$F$690:$G$915,2,FALSE)</f>
        <v>Humanas</v>
      </c>
      <c r="AV211" s="69">
        <f>VLOOKUP(UNINASSAU[[#This Row],[CURSO]],'[1]POS_EAD_0112 a 3101_CAMP. REG)'!$F$690:$H$915,3,FALSE)</f>
        <v>6</v>
      </c>
      <c r="AW211" s="69">
        <f>VLOOKUP(UNINASSAU[[#This Row],[CURSO]],'[1]POS_EAD_0112 a 3101_CAMP. REG)'!$F$690:$I$915,4,FALSE)</f>
        <v>13</v>
      </c>
      <c r="AX211" s="73">
        <f>VLOOKUP(UNINASSAU[[#This Row],[CURSO]],'[1]POS_EAD_0112 a 3101_CAMP. REG)'!$F$690:$J$915,5,FALSE)</f>
        <v>269.33202599999998</v>
      </c>
      <c r="AY211" s="72">
        <f>VLOOKUP(UNINASSAU[[#This Row],[CURSO]],'[1]POS_EAD_0112 a 3101_CAMP. REG)'!$F$690:$L$915,7,FALSE)</f>
        <v>0.45</v>
      </c>
      <c r="AZ211" s="73">
        <f>VLOOKUP(UNINASSAU[[#This Row],[CURSO]],'[1]POS_EAD_0112 a 3101_CAMP. REG)'!$F$690:$N$915,8,FALSE)</f>
        <v>133.32</v>
      </c>
      <c r="BA211" s="72">
        <f>VLOOKUP(UNINASSAU[[#This Row],[CURSO]],'[1]POS_EAD_0112 a 3101_CAMP. REG)'!$F$690:$P$915,11,FALSE)</f>
        <v>0.5</v>
      </c>
      <c r="BB211" s="73">
        <f>VLOOKUP(UNINASSAU[[#This Row],[CURSO]],'[1]POS_EAD_0112 a 3101_CAMP. REG)'!$F$690:$Q$915,12,FALSE)</f>
        <v>121.2</v>
      </c>
      <c r="BD211" s="104">
        <v>208</v>
      </c>
      <c r="BE211" s="121" t="s">
        <v>105</v>
      </c>
      <c r="BF211" s="69" t="s">
        <v>19</v>
      </c>
    </row>
    <row r="212" spans="12:58" x14ac:dyDescent="0.25">
      <c r="L212" s="121" t="s">
        <v>119</v>
      </c>
      <c r="M212" s="69" t="s">
        <v>19</v>
      </c>
      <c r="N212" s="69" t="str">
        <f>VLOOKUP($L$4,'[1]POS_EAD_0112 a 3101_CAMP. REG)'!$F$5:$G$231,2,FALSE)</f>
        <v>Humanas</v>
      </c>
      <c r="O212" s="69">
        <f>VLOOKUP(L212,'[1]POS_EAD_0112 a 3101_CAMP. REG)'!$F$5:$H$231,3,FALSE)</f>
        <v>12</v>
      </c>
      <c r="P212" s="68">
        <f>VLOOKUP(L212,'[1]POS_EAD_0112 a 3101_CAMP. REG)'!$F$5:$I$231,4,FALSE)</f>
        <v>19</v>
      </c>
      <c r="Q212" s="73">
        <f>VLOOKUP(L212,'[1]POS_EAD_0112 a 3101_CAMP. REG)'!$F$5:$J$231,5,FALSE)</f>
        <v>184.28091221052631</v>
      </c>
      <c r="R212" s="124">
        <f>VLOOKUP(L212,'[1]POS_EAD_0112 a 3101_CAMP. REG)'!$F$5:$L$231,7,FALSE)</f>
        <v>0.45</v>
      </c>
      <c r="S212" s="73">
        <f>VLOOKUP(L212,'[1]POS_EAD_0112 a 3101_CAMP. REG)'!$F$5:$M$231,8,FALSE)</f>
        <v>91.22</v>
      </c>
      <c r="T212" s="124">
        <f>VLOOKUP(L212,'[1]POS_EAD_0112 a 3101_CAMP. REG)'!$F$5:$P$231,11,FALSE)</f>
        <v>0.5</v>
      </c>
      <c r="U212" s="73">
        <f>VLOOKUP(L212,'[1]POS_EAD_0112 a 3101_CAMP. REG)'!$F$5:$Q$231,12,FALSE)</f>
        <v>82.93</v>
      </c>
      <c r="W212" s="121" t="s">
        <v>119</v>
      </c>
      <c r="X212" s="69" t="s">
        <v>19</v>
      </c>
      <c r="Y212" s="69" t="str">
        <f>VLOOKUP(W212,'[1]POS_EAD_0112 a 3101_CAMP. REG)'!$F$231:$G$461,2,FALSE)</f>
        <v>Humanas</v>
      </c>
      <c r="Z212" s="68">
        <f>VLOOKUP(W212,'[1]POS_EAD_0112 a 3101_CAMP. REG)'!$F$231:$H$461,3,FALSE)</f>
        <v>12</v>
      </c>
      <c r="AA212" s="68">
        <f>VLOOKUP(W212,'[1]POS_EAD_0112 a 3101_CAMP. REG)'!$F$231:$I$461,4,FALSE)</f>
        <v>19</v>
      </c>
      <c r="AB212" s="73">
        <f>VLOOKUP(W212,'[1]POS_EAD_0112 a 3101_CAMP. REG)'!$F$231:$J$461,5,FALSE)</f>
        <v>207.609666</v>
      </c>
      <c r="AC212" s="72">
        <f>VLOOKUP(W212,'[1]POS_EAD_0112 a 3101_CAMP. REG)'!$F$231:$L$461,7,FALSE)</f>
        <v>0.45</v>
      </c>
      <c r="AD212" s="73">
        <f>VLOOKUP(W212,'[1]POS_EAD_0112 a 3101_CAMP. REG)'!$F$231:$M$461,8,FALSE)</f>
        <v>102.77</v>
      </c>
      <c r="AE212" s="72">
        <f>VLOOKUP(W212,'[1]POS_EAD_0112 a 3101_CAMP. REG)'!$F$231:$P$461,11,FALSE)</f>
        <v>0.5</v>
      </c>
      <c r="AF212" s="73">
        <f>VLOOKUP(W212,'[1]POS_EAD_0112 a 3101_CAMP. REG)'!$F$231:$Q$461,12,FALSE)</f>
        <v>93.42</v>
      </c>
      <c r="AH212" s="121" t="s">
        <v>119</v>
      </c>
      <c r="AI212" s="69" t="s">
        <v>19</v>
      </c>
      <c r="AJ212" s="68" t="str">
        <f>VLOOKUP(UNG[[#This Row],[CURSO]],'[1]POS_EAD_0112 a 3101_CAMP. REG)'!$F$463:$G$688,2,FALSE)</f>
        <v>Humanas</v>
      </c>
      <c r="AK212" s="68">
        <f>VLOOKUP(UNG[[#This Row],[CURSO]],'[1]POS_EAD_0112 a 3101_CAMP. REG)'!$F$463:$H$688,3,FALSE)</f>
        <v>12</v>
      </c>
      <c r="AL212" s="68">
        <f>VLOOKUP(UNG[[#This Row],[CURSO]],'[1]POS_EAD_0112 a 3101_CAMP. REG)'!$F$463:$I$688,4,FALSE)</f>
        <v>19</v>
      </c>
      <c r="AM212" s="71">
        <f>VLOOKUP(UNG[[#This Row],[CURSO]],'[1]POS_EAD_0112 a 3101_CAMP. REG)'!$F$463:$J$688,5,FALSE)</f>
        <v>184.28091221052631</v>
      </c>
      <c r="AN212" s="124">
        <f>VLOOKUP(UNG[[#This Row],[CURSO]],'[1]POS_EAD_0112 a 3101_CAMP. REG)'!$F$463:$L$688,7,FALSE)</f>
        <v>0.45</v>
      </c>
      <c r="AO212" s="71">
        <f>VLOOKUP(UNG[[#This Row],[CURSO]],'[1]POS_EAD_0112 a 3101_CAMP. REG)'!$F$463:$M$688,8,FALSE)</f>
        <v>91.22</v>
      </c>
      <c r="AP212" s="124">
        <f>VLOOKUP(UNG[[#This Row],[CURSO]],'[1]POS_EAD_0112 a 3101_CAMP. REG)'!$F$463:$P$688,11,FALSE)</f>
        <v>0.5</v>
      </c>
      <c r="AQ212" s="71">
        <f>VLOOKUP(UNG[[#This Row],[CURSO]],'[1]POS_EAD_0112 a 3101_CAMP. REG)'!$F$463:$Q$688,12,FALSE)</f>
        <v>82.93</v>
      </c>
      <c r="AS212" s="121" t="s">
        <v>119</v>
      </c>
      <c r="AT212" s="69" t="s">
        <v>19</v>
      </c>
      <c r="AU212" s="69" t="str">
        <f>VLOOKUP(UNINASSAU[[#This Row],[CURSO]],'[1]POS_EAD_0112 a 3101_CAMP. REG)'!$F$690:$G$915,2,FALSE)</f>
        <v>Humanas</v>
      </c>
      <c r="AV212" s="69">
        <f>VLOOKUP(UNINASSAU[[#This Row],[CURSO]],'[1]POS_EAD_0112 a 3101_CAMP. REG)'!$F$690:$H$915,3,FALSE)</f>
        <v>12</v>
      </c>
      <c r="AW212" s="69">
        <f>VLOOKUP(UNINASSAU[[#This Row],[CURSO]],'[1]POS_EAD_0112 a 3101_CAMP. REG)'!$F$690:$I$915,4,FALSE)</f>
        <v>19</v>
      </c>
      <c r="AX212" s="73">
        <f>VLOOKUP(UNINASSAU[[#This Row],[CURSO]],'[1]POS_EAD_0112 a 3101_CAMP. REG)'!$F$690:$J$915,5,FALSE)</f>
        <v>184.28091221052631</v>
      </c>
      <c r="AY212" s="72">
        <f>VLOOKUP(UNINASSAU[[#This Row],[CURSO]],'[1]POS_EAD_0112 a 3101_CAMP. REG)'!$F$690:$L$915,7,FALSE)</f>
        <v>0.45</v>
      </c>
      <c r="AZ212" s="73">
        <f>VLOOKUP(UNINASSAU[[#This Row],[CURSO]],'[1]POS_EAD_0112 a 3101_CAMP. REG)'!$F$690:$N$915,8,FALSE)</f>
        <v>91.22</v>
      </c>
      <c r="BA212" s="72">
        <f>VLOOKUP(UNINASSAU[[#This Row],[CURSO]],'[1]POS_EAD_0112 a 3101_CAMP. REG)'!$F$690:$P$915,11,FALSE)</f>
        <v>0.5</v>
      </c>
      <c r="BB212" s="73">
        <f>VLOOKUP(UNINASSAU[[#This Row],[CURSO]],'[1]POS_EAD_0112 a 3101_CAMP. REG)'!$F$690:$Q$915,12,FALSE)</f>
        <v>82.93</v>
      </c>
      <c r="BD212" s="104">
        <v>209</v>
      </c>
      <c r="BE212" s="121" t="s">
        <v>119</v>
      </c>
      <c r="BF212" s="69" t="s">
        <v>19</v>
      </c>
    </row>
    <row r="213" spans="12:58" x14ac:dyDescent="0.25">
      <c r="L213" s="121" t="s">
        <v>122</v>
      </c>
      <c r="M213" s="69" t="s">
        <v>19</v>
      </c>
      <c r="N213" s="69" t="str">
        <f>VLOOKUP($L$4,'[1]POS_EAD_0112 a 3101_CAMP. REG)'!$F$5:$G$231,2,FALSE)</f>
        <v>Humanas</v>
      </c>
      <c r="O213" s="69">
        <f>VLOOKUP(L213,'[1]POS_EAD_0112 a 3101_CAMP. REG)'!$F$5:$H$231,3,FALSE)</f>
        <v>12</v>
      </c>
      <c r="P213" s="68">
        <f>VLOOKUP(L213,'[1]POS_EAD_0112 a 3101_CAMP. REG)'!$F$5:$I$231,4,FALSE)</f>
        <v>19</v>
      </c>
      <c r="Q213" s="73">
        <f>VLOOKUP(L213,'[1]POS_EAD_0112 a 3101_CAMP. REG)'!$F$5:$J$231,5,FALSE)</f>
        <v>184.28091221052631</v>
      </c>
      <c r="R213" s="124">
        <f>VLOOKUP(L213,'[1]POS_EAD_0112 a 3101_CAMP. REG)'!$F$5:$L$231,7,FALSE)</f>
        <v>0.45</v>
      </c>
      <c r="S213" s="73">
        <f>VLOOKUP(L213,'[1]POS_EAD_0112 a 3101_CAMP. REG)'!$F$5:$M$231,8,FALSE)</f>
        <v>91.22</v>
      </c>
      <c r="T213" s="124">
        <f>VLOOKUP(L213,'[1]POS_EAD_0112 a 3101_CAMP. REG)'!$F$5:$P$231,11,FALSE)</f>
        <v>0.5</v>
      </c>
      <c r="U213" s="73">
        <f>VLOOKUP(L213,'[1]POS_EAD_0112 a 3101_CAMP. REG)'!$F$5:$Q$231,12,FALSE)</f>
        <v>82.93</v>
      </c>
      <c r="W213" s="121" t="s">
        <v>122</v>
      </c>
      <c r="X213" s="69" t="s">
        <v>19</v>
      </c>
      <c r="Y213" s="69" t="str">
        <f>VLOOKUP(W213,'[1]POS_EAD_0112 a 3101_CAMP. REG)'!$F$231:$G$461,2,FALSE)</f>
        <v>Humanas</v>
      </c>
      <c r="Z213" s="68">
        <f>VLOOKUP(W213,'[1]POS_EAD_0112 a 3101_CAMP. REG)'!$F$231:$H$461,3,FALSE)</f>
        <v>12</v>
      </c>
      <c r="AA213" s="68">
        <f>VLOOKUP(W213,'[1]POS_EAD_0112 a 3101_CAMP. REG)'!$F$231:$I$461,4,FALSE)</f>
        <v>19</v>
      </c>
      <c r="AB213" s="73">
        <f>VLOOKUP(W213,'[1]POS_EAD_0112 a 3101_CAMP. REG)'!$F$231:$J$461,5,FALSE)</f>
        <v>207.609666</v>
      </c>
      <c r="AC213" s="72">
        <f>VLOOKUP(W213,'[1]POS_EAD_0112 a 3101_CAMP. REG)'!$F$231:$L$461,7,FALSE)</f>
        <v>0.45</v>
      </c>
      <c r="AD213" s="73">
        <f>VLOOKUP(W213,'[1]POS_EAD_0112 a 3101_CAMP. REG)'!$F$231:$M$461,8,FALSE)</f>
        <v>102.77</v>
      </c>
      <c r="AE213" s="72">
        <f>VLOOKUP(W213,'[1]POS_EAD_0112 a 3101_CAMP. REG)'!$F$231:$P$461,11,FALSE)</f>
        <v>0.5</v>
      </c>
      <c r="AF213" s="73">
        <f>VLOOKUP(W213,'[1]POS_EAD_0112 a 3101_CAMP. REG)'!$F$231:$Q$461,12,FALSE)</f>
        <v>93.42</v>
      </c>
      <c r="AH213" s="121" t="s">
        <v>122</v>
      </c>
      <c r="AI213" s="69" t="s">
        <v>19</v>
      </c>
      <c r="AJ213" s="68" t="str">
        <f>VLOOKUP(UNG[[#This Row],[CURSO]],'[1]POS_EAD_0112 a 3101_CAMP. REG)'!$F$463:$G$688,2,FALSE)</f>
        <v>Humanas</v>
      </c>
      <c r="AK213" s="68">
        <f>VLOOKUP(UNG[[#This Row],[CURSO]],'[1]POS_EAD_0112 a 3101_CAMP. REG)'!$F$463:$H$688,3,FALSE)</f>
        <v>12</v>
      </c>
      <c r="AL213" s="68">
        <f>VLOOKUP(UNG[[#This Row],[CURSO]],'[1]POS_EAD_0112 a 3101_CAMP. REG)'!$F$463:$I$688,4,FALSE)</f>
        <v>19</v>
      </c>
      <c r="AM213" s="71">
        <f>VLOOKUP(UNG[[#This Row],[CURSO]],'[1]POS_EAD_0112 a 3101_CAMP. REG)'!$F$463:$J$688,5,FALSE)</f>
        <v>184.28091221052631</v>
      </c>
      <c r="AN213" s="124">
        <f>VLOOKUP(UNG[[#This Row],[CURSO]],'[1]POS_EAD_0112 a 3101_CAMP. REG)'!$F$463:$L$688,7,FALSE)</f>
        <v>0.45</v>
      </c>
      <c r="AO213" s="71">
        <f>VLOOKUP(UNG[[#This Row],[CURSO]],'[1]POS_EAD_0112 a 3101_CAMP. REG)'!$F$463:$M$688,8,FALSE)</f>
        <v>91.22</v>
      </c>
      <c r="AP213" s="124">
        <f>VLOOKUP(UNG[[#This Row],[CURSO]],'[1]POS_EAD_0112 a 3101_CAMP. REG)'!$F$463:$P$688,11,FALSE)</f>
        <v>0.5</v>
      </c>
      <c r="AQ213" s="71">
        <f>VLOOKUP(UNG[[#This Row],[CURSO]],'[1]POS_EAD_0112 a 3101_CAMP. REG)'!$F$463:$Q$688,12,FALSE)</f>
        <v>82.93</v>
      </c>
      <c r="AS213" s="121" t="s">
        <v>122</v>
      </c>
      <c r="AT213" s="69" t="s">
        <v>19</v>
      </c>
      <c r="AU213" s="69" t="str">
        <f>VLOOKUP(UNINASSAU[[#This Row],[CURSO]],'[1]POS_EAD_0112 a 3101_CAMP. REG)'!$F$690:$G$915,2,FALSE)</f>
        <v>Humanas</v>
      </c>
      <c r="AV213" s="69">
        <f>VLOOKUP(UNINASSAU[[#This Row],[CURSO]],'[1]POS_EAD_0112 a 3101_CAMP. REG)'!$F$690:$H$915,3,FALSE)</f>
        <v>12</v>
      </c>
      <c r="AW213" s="69">
        <f>VLOOKUP(UNINASSAU[[#This Row],[CURSO]],'[1]POS_EAD_0112 a 3101_CAMP. REG)'!$F$690:$I$915,4,FALSE)</f>
        <v>19</v>
      </c>
      <c r="AX213" s="73">
        <f>VLOOKUP(UNINASSAU[[#This Row],[CURSO]],'[1]POS_EAD_0112 a 3101_CAMP. REG)'!$F$690:$J$915,5,FALSE)</f>
        <v>184.28091221052631</v>
      </c>
      <c r="AY213" s="72">
        <f>VLOOKUP(UNINASSAU[[#This Row],[CURSO]],'[1]POS_EAD_0112 a 3101_CAMP. REG)'!$F$690:$L$915,7,FALSE)</f>
        <v>0.45</v>
      </c>
      <c r="AZ213" s="73">
        <f>VLOOKUP(UNINASSAU[[#This Row],[CURSO]],'[1]POS_EAD_0112 a 3101_CAMP. REG)'!$F$690:$N$915,8,FALSE)</f>
        <v>91.22</v>
      </c>
      <c r="BA213" s="72">
        <f>VLOOKUP(UNINASSAU[[#This Row],[CURSO]],'[1]POS_EAD_0112 a 3101_CAMP. REG)'!$F$690:$P$915,11,FALSE)</f>
        <v>0.5</v>
      </c>
      <c r="BB213" s="73">
        <f>VLOOKUP(UNINASSAU[[#This Row],[CURSO]],'[1]POS_EAD_0112 a 3101_CAMP. REG)'!$F$690:$Q$915,12,FALSE)</f>
        <v>82.93</v>
      </c>
      <c r="BD213" s="104">
        <v>210</v>
      </c>
      <c r="BE213" s="121" t="s">
        <v>122</v>
      </c>
      <c r="BF213" s="69" t="s">
        <v>19</v>
      </c>
    </row>
    <row r="214" spans="12:58" x14ac:dyDescent="0.25">
      <c r="L214" s="121" t="s">
        <v>143</v>
      </c>
      <c r="M214" s="69" t="s">
        <v>19</v>
      </c>
      <c r="N214" s="69" t="str">
        <f>VLOOKUP($L$4,'[1]POS_EAD_0112 a 3101_CAMP. REG)'!$F$5:$G$231,2,FALSE)</f>
        <v>Humanas</v>
      </c>
      <c r="O214" s="69">
        <f>VLOOKUP(L214,'[1]POS_EAD_0112 a 3101_CAMP. REG)'!$F$5:$H$231,3,FALSE)</f>
        <v>12</v>
      </c>
      <c r="P214" s="68">
        <f>VLOOKUP(L214,'[1]POS_EAD_0112 a 3101_CAMP. REG)'!$F$5:$I$231,4,FALSE)</f>
        <v>19</v>
      </c>
      <c r="Q214" s="73">
        <f>VLOOKUP(L214,'[1]POS_EAD_0112 a 3101_CAMP. REG)'!$F$5:$J$231,5,FALSE)</f>
        <v>184.28091221052631</v>
      </c>
      <c r="R214" s="124">
        <f>VLOOKUP(L214,'[1]POS_EAD_0112 a 3101_CAMP. REG)'!$F$5:$L$231,7,FALSE)</f>
        <v>0.45</v>
      </c>
      <c r="S214" s="73">
        <f>VLOOKUP(L214,'[1]POS_EAD_0112 a 3101_CAMP. REG)'!$F$5:$M$231,8,FALSE)</f>
        <v>91.22</v>
      </c>
      <c r="T214" s="124">
        <f>VLOOKUP(L214,'[1]POS_EAD_0112 a 3101_CAMP. REG)'!$F$5:$P$231,11,FALSE)</f>
        <v>0.5</v>
      </c>
      <c r="U214" s="73">
        <f>VLOOKUP(L214,'[1]POS_EAD_0112 a 3101_CAMP. REG)'!$F$5:$Q$231,12,FALSE)</f>
        <v>82.93</v>
      </c>
      <c r="W214" s="121" t="s">
        <v>143</v>
      </c>
      <c r="X214" s="69" t="s">
        <v>19</v>
      </c>
      <c r="Y214" s="69" t="str">
        <f>VLOOKUP(W214,'[1]POS_EAD_0112 a 3101_CAMP. REG)'!$F$231:$G$461,2,FALSE)</f>
        <v>Humanas</v>
      </c>
      <c r="Z214" s="68">
        <f>VLOOKUP(W214,'[1]POS_EAD_0112 a 3101_CAMP. REG)'!$F$231:$H$461,3,FALSE)</f>
        <v>12</v>
      </c>
      <c r="AA214" s="68">
        <f>VLOOKUP(W214,'[1]POS_EAD_0112 a 3101_CAMP. REG)'!$F$231:$I$461,4,FALSE)</f>
        <v>19</v>
      </c>
      <c r="AB214" s="73">
        <f>VLOOKUP(W214,'[1]POS_EAD_0112 a 3101_CAMP. REG)'!$F$231:$J$461,5,FALSE)</f>
        <v>207.609666</v>
      </c>
      <c r="AC214" s="72">
        <f>VLOOKUP(W214,'[1]POS_EAD_0112 a 3101_CAMP. REG)'!$F$231:$L$461,7,FALSE)</f>
        <v>0.45</v>
      </c>
      <c r="AD214" s="73">
        <f>VLOOKUP(W214,'[1]POS_EAD_0112 a 3101_CAMP. REG)'!$F$231:$M$461,8,FALSE)</f>
        <v>102.77</v>
      </c>
      <c r="AE214" s="72">
        <f>VLOOKUP(W214,'[1]POS_EAD_0112 a 3101_CAMP. REG)'!$F$231:$P$461,11,FALSE)</f>
        <v>0.5</v>
      </c>
      <c r="AF214" s="73">
        <f>VLOOKUP(W214,'[1]POS_EAD_0112 a 3101_CAMP. REG)'!$F$231:$Q$461,12,FALSE)</f>
        <v>93.42</v>
      </c>
      <c r="AH214" s="121" t="s">
        <v>143</v>
      </c>
      <c r="AI214" s="69" t="s">
        <v>19</v>
      </c>
      <c r="AJ214" s="68" t="str">
        <f>VLOOKUP(UNG[[#This Row],[CURSO]],'[1]POS_EAD_0112 a 3101_CAMP. REG)'!$F$463:$G$688,2,FALSE)</f>
        <v>Humanas</v>
      </c>
      <c r="AK214" s="68">
        <f>VLOOKUP(UNG[[#This Row],[CURSO]],'[1]POS_EAD_0112 a 3101_CAMP. REG)'!$F$463:$H$688,3,FALSE)</f>
        <v>12</v>
      </c>
      <c r="AL214" s="68">
        <f>VLOOKUP(UNG[[#This Row],[CURSO]],'[1]POS_EAD_0112 a 3101_CAMP. REG)'!$F$463:$I$688,4,FALSE)</f>
        <v>19</v>
      </c>
      <c r="AM214" s="71">
        <f>VLOOKUP(UNG[[#This Row],[CURSO]],'[1]POS_EAD_0112 a 3101_CAMP. REG)'!$F$463:$J$688,5,FALSE)</f>
        <v>184.28091221052631</v>
      </c>
      <c r="AN214" s="124">
        <f>VLOOKUP(UNG[[#This Row],[CURSO]],'[1]POS_EAD_0112 a 3101_CAMP. REG)'!$F$463:$L$688,7,FALSE)</f>
        <v>0.45</v>
      </c>
      <c r="AO214" s="71">
        <f>VLOOKUP(UNG[[#This Row],[CURSO]],'[1]POS_EAD_0112 a 3101_CAMP. REG)'!$F$463:$M$688,8,FALSE)</f>
        <v>91.22</v>
      </c>
      <c r="AP214" s="124">
        <f>VLOOKUP(UNG[[#This Row],[CURSO]],'[1]POS_EAD_0112 a 3101_CAMP. REG)'!$F$463:$P$688,11,FALSE)</f>
        <v>0.5</v>
      </c>
      <c r="AQ214" s="71">
        <f>VLOOKUP(UNG[[#This Row],[CURSO]],'[1]POS_EAD_0112 a 3101_CAMP. REG)'!$F$463:$Q$688,12,FALSE)</f>
        <v>82.93</v>
      </c>
      <c r="AS214" s="121" t="s">
        <v>143</v>
      </c>
      <c r="AT214" s="69" t="s">
        <v>19</v>
      </c>
      <c r="AU214" s="69" t="str">
        <f>VLOOKUP(UNINASSAU[[#This Row],[CURSO]],'[1]POS_EAD_0112 a 3101_CAMP. REG)'!$F$690:$G$915,2,FALSE)</f>
        <v>Humanas</v>
      </c>
      <c r="AV214" s="69">
        <f>VLOOKUP(UNINASSAU[[#This Row],[CURSO]],'[1]POS_EAD_0112 a 3101_CAMP. REG)'!$F$690:$H$915,3,FALSE)</f>
        <v>12</v>
      </c>
      <c r="AW214" s="69">
        <f>VLOOKUP(UNINASSAU[[#This Row],[CURSO]],'[1]POS_EAD_0112 a 3101_CAMP. REG)'!$F$690:$I$915,4,FALSE)</f>
        <v>19</v>
      </c>
      <c r="AX214" s="73">
        <f>VLOOKUP(UNINASSAU[[#This Row],[CURSO]],'[1]POS_EAD_0112 a 3101_CAMP. REG)'!$F$690:$J$915,5,FALSE)</f>
        <v>184.28091221052631</v>
      </c>
      <c r="AY214" s="72">
        <f>VLOOKUP(UNINASSAU[[#This Row],[CURSO]],'[1]POS_EAD_0112 a 3101_CAMP. REG)'!$F$690:$L$915,7,FALSE)</f>
        <v>0.45</v>
      </c>
      <c r="AZ214" s="73">
        <f>VLOOKUP(UNINASSAU[[#This Row],[CURSO]],'[1]POS_EAD_0112 a 3101_CAMP. REG)'!$F$690:$N$915,8,FALSE)</f>
        <v>91.22</v>
      </c>
      <c r="BA214" s="72">
        <f>VLOOKUP(UNINASSAU[[#This Row],[CURSO]],'[1]POS_EAD_0112 a 3101_CAMP. REG)'!$F$690:$P$915,11,FALSE)</f>
        <v>0.5</v>
      </c>
      <c r="BB214" s="73">
        <f>VLOOKUP(UNINASSAU[[#This Row],[CURSO]],'[1]POS_EAD_0112 a 3101_CAMP. REG)'!$F$690:$Q$915,12,FALSE)</f>
        <v>82.93</v>
      </c>
      <c r="BD214" s="104">
        <v>211</v>
      </c>
      <c r="BE214" s="121" t="s">
        <v>143</v>
      </c>
      <c r="BF214" s="69" t="s">
        <v>19</v>
      </c>
    </row>
    <row r="215" spans="12:58" x14ac:dyDescent="0.25">
      <c r="L215" s="121" t="s">
        <v>167</v>
      </c>
      <c r="M215" s="69" t="s">
        <v>19</v>
      </c>
      <c r="N215" s="69" t="str">
        <f>VLOOKUP($L$4,'[1]POS_EAD_0112 a 3101_CAMP. REG)'!$F$5:$G$231,2,FALSE)</f>
        <v>Humanas</v>
      </c>
      <c r="O215" s="69">
        <f>VLOOKUP(L215,'[1]POS_EAD_0112 a 3101_CAMP. REG)'!$F$5:$H$231,3,FALSE)</f>
        <v>12</v>
      </c>
      <c r="P215" s="68">
        <f>VLOOKUP(L215,'[1]POS_EAD_0112 a 3101_CAMP. REG)'!$F$5:$I$231,4,FALSE)</f>
        <v>19</v>
      </c>
      <c r="Q215" s="73">
        <f>VLOOKUP(L215,'[1]POS_EAD_0112 a 3101_CAMP. REG)'!$F$5:$J$231,5,FALSE)</f>
        <v>184.28091221052631</v>
      </c>
      <c r="R215" s="124">
        <f>VLOOKUP(L215,'[1]POS_EAD_0112 a 3101_CAMP. REG)'!$F$5:$L$231,7,FALSE)</f>
        <v>0.45</v>
      </c>
      <c r="S215" s="73">
        <f>VLOOKUP(L215,'[1]POS_EAD_0112 a 3101_CAMP. REG)'!$F$5:$M$231,8,FALSE)</f>
        <v>91.22</v>
      </c>
      <c r="T215" s="124">
        <f>VLOOKUP(L215,'[1]POS_EAD_0112 a 3101_CAMP. REG)'!$F$5:$P$231,11,FALSE)</f>
        <v>0.5</v>
      </c>
      <c r="U215" s="73">
        <f>VLOOKUP(L215,'[1]POS_EAD_0112 a 3101_CAMP. REG)'!$F$5:$Q$231,12,FALSE)</f>
        <v>82.93</v>
      </c>
      <c r="W215" s="121" t="s">
        <v>167</v>
      </c>
      <c r="X215" s="69" t="s">
        <v>19</v>
      </c>
      <c r="Y215" s="69" t="str">
        <f>VLOOKUP(W215,'[1]POS_EAD_0112 a 3101_CAMP. REG)'!$F$231:$G$461,2,FALSE)</f>
        <v>Humanas</v>
      </c>
      <c r="Z215" s="68">
        <f>VLOOKUP(W215,'[1]POS_EAD_0112 a 3101_CAMP. REG)'!$F$231:$H$461,3,FALSE)</f>
        <v>12</v>
      </c>
      <c r="AA215" s="68">
        <f>VLOOKUP(W215,'[1]POS_EAD_0112 a 3101_CAMP. REG)'!$F$231:$I$461,4,FALSE)</f>
        <v>19</v>
      </c>
      <c r="AB215" s="73">
        <f>VLOOKUP(W215,'[1]POS_EAD_0112 a 3101_CAMP. REG)'!$F$231:$J$461,5,FALSE)</f>
        <v>207.609666</v>
      </c>
      <c r="AC215" s="72">
        <f>VLOOKUP(W215,'[1]POS_EAD_0112 a 3101_CAMP. REG)'!$F$231:$L$461,7,FALSE)</f>
        <v>0.45</v>
      </c>
      <c r="AD215" s="73">
        <f>VLOOKUP(W215,'[1]POS_EAD_0112 a 3101_CAMP. REG)'!$F$231:$M$461,8,FALSE)</f>
        <v>102.77</v>
      </c>
      <c r="AE215" s="72">
        <f>VLOOKUP(W215,'[1]POS_EAD_0112 a 3101_CAMP. REG)'!$F$231:$P$461,11,FALSE)</f>
        <v>0.5</v>
      </c>
      <c r="AF215" s="73">
        <f>VLOOKUP(W215,'[1]POS_EAD_0112 a 3101_CAMP. REG)'!$F$231:$Q$461,12,FALSE)</f>
        <v>93.42</v>
      </c>
      <c r="AH215" s="121" t="s">
        <v>167</v>
      </c>
      <c r="AI215" s="69" t="s">
        <v>19</v>
      </c>
      <c r="AJ215" s="68" t="str">
        <f>VLOOKUP(UNG[[#This Row],[CURSO]],'[1]POS_EAD_0112 a 3101_CAMP. REG)'!$F$463:$G$688,2,FALSE)</f>
        <v>Humanas</v>
      </c>
      <c r="AK215" s="68">
        <f>VLOOKUP(UNG[[#This Row],[CURSO]],'[1]POS_EAD_0112 a 3101_CAMP. REG)'!$F$463:$H$688,3,FALSE)</f>
        <v>12</v>
      </c>
      <c r="AL215" s="68">
        <f>VLOOKUP(UNG[[#This Row],[CURSO]],'[1]POS_EAD_0112 a 3101_CAMP. REG)'!$F$463:$I$688,4,FALSE)</f>
        <v>19</v>
      </c>
      <c r="AM215" s="71">
        <f>VLOOKUP(UNG[[#This Row],[CURSO]],'[1]POS_EAD_0112 a 3101_CAMP. REG)'!$F$463:$J$688,5,FALSE)</f>
        <v>184.28091221052631</v>
      </c>
      <c r="AN215" s="124">
        <f>VLOOKUP(UNG[[#This Row],[CURSO]],'[1]POS_EAD_0112 a 3101_CAMP. REG)'!$F$463:$L$688,7,FALSE)</f>
        <v>0.45</v>
      </c>
      <c r="AO215" s="71">
        <f>VLOOKUP(UNG[[#This Row],[CURSO]],'[1]POS_EAD_0112 a 3101_CAMP. REG)'!$F$463:$M$688,8,FALSE)</f>
        <v>91.22</v>
      </c>
      <c r="AP215" s="124">
        <f>VLOOKUP(UNG[[#This Row],[CURSO]],'[1]POS_EAD_0112 a 3101_CAMP. REG)'!$F$463:$P$688,11,FALSE)</f>
        <v>0.5</v>
      </c>
      <c r="AQ215" s="71">
        <f>VLOOKUP(UNG[[#This Row],[CURSO]],'[1]POS_EAD_0112 a 3101_CAMP. REG)'!$F$463:$Q$688,12,FALSE)</f>
        <v>82.93</v>
      </c>
      <c r="AS215" s="121" t="s">
        <v>167</v>
      </c>
      <c r="AT215" s="69" t="s">
        <v>19</v>
      </c>
      <c r="AU215" s="69" t="str">
        <f>VLOOKUP(UNINASSAU[[#This Row],[CURSO]],'[1]POS_EAD_0112 a 3101_CAMP. REG)'!$F$690:$G$915,2,FALSE)</f>
        <v>Humanas</v>
      </c>
      <c r="AV215" s="69">
        <f>VLOOKUP(UNINASSAU[[#This Row],[CURSO]],'[1]POS_EAD_0112 a 3101_CAMP. REG)'!$F$690:$H$915,3,FALSE)</f>
        <v>12</v>
      </c>
      <c r="AW215" s="69">
        <f>VLOOKUP(UNINASSAU[[#This Row],[CURSO]],'[1]POS_EAD_0112 a 3101_CAMP. REG)'!$F$690:$I$915,4,FALSE)</f>
        <v>19</v>
      </c>
      <c r="AX215" s="73">
        <f>VLOOKUP(UNINASSAU[[#This Row],[CURSO]],'[1]POS_EAD_0112 a 3101_CAMP. REG)'!$F$690:$J$915,5,FALSE)</f>
        <v>184.28091221052631</v>
      </c>
      <c r="AY215" s="72">
        <f>VLOOKUP(UNINASSAU[[#This Row],[CURSO]],'[1]POS_EAD_0112 a 3101_CAMP. REG)'!$F$690:$L$915,7,FALSE)</f>
        <v>0.45</v>
      </c>
      <c r="AZ215" s="73">
        <f>VLOOKUP(UNINASSAU[[#This Row],[CURSO]],'[1]POS_EAD_0112 a 3101_CAMP. REG)'!$F$690:$N$915,8,FALSE)</f>
        <v>91.22</v>
      </c>
      <c r="BA215" s="72">
        <f>VLOOKUP(UNINASSAU[[#This Row],[CURSO]],'[1]POS_EAD_0112 a 3101_CAMP. REG)'!$F$690:$P$915,11,FALSE)</f>
        <v>0.5</v>
      </c>
      <c r="BB215" s="73">
        <f>VLOOKUP(UNINASSAU[[#This Row],[CURSO]],'[1]POS_EAD_0112 a 3101_CAMP. REG)'!$F$690:$Q$915,12,FALSE)</f>
        <v>82.93</v>
      </c>
      <c r="BD215" s="104">
        <v>212</v>
      </c>
      <c r="BE215" s="121" t="s">
        <v>167</v>
      </c>
      <c r="BF215" s="69" t="s">
        <v>19</v>
      </c>
    </row>
    <row r="216" spans="12:58" x14ac:dyDescent="0.25">
      <c r="L216" s="121" t="s">
        <v>69</v>
      </c>
      <c r="M216" s="69" t="s">
        <v>19</v>
      </c>
      <c r="N216" s="69" t="str">
        <f>VLOOKUP($L$4,'[1]POS_EAD_0112 a 3101_CAMP. REG)'!$F$5:$G$231,2,FALSE)</f>
        <v>Humanas</v>
      </c>
      <c r="O216" s="69">
        <f>VLOOKUP(L216,'[1]POS_EAD_0112 a 3101_CAMP. REG)'!$F$5:$H$231,3,FALSE)</f>
        <v>6</v>
      </c>
      <c r="P216" s="68">
        <f>VLOOKUP(L216,'[1]POS_EAD_0112 a 3101_CAMP. REG)'!$F$5:$I$231,4,FALSE)</f>
        <v>13</v>
      </c>
      <c r="Q216" s="73">
        <f>VLOOKUP(L216,'[1]POS_EAD_0112 a 3101_CAMP. REG)'!$F$5:$J$231,5,FALSE)</f>
        <v>405.70905000000005</v>
      </c>
      <c r="R216" s="124">
        <f>VLOOKUP(L216,'[1]POS_EAD_0112 a 3101_CAMP. REG)'!$F$5:$L$231,7,FALSE)</f>
        <v>0.45</v>
      </c>
      <c r="S216" s="73">
        <f>VLOOKUP(L216,'[1]POS_EAD_0112 a 3101_CAMP. REG)'!$F$5:$M$231,8,FALSE)</f>
        <v>200.83</v>
      </c>
      <c r="T216" s="124">
        <f>VLOOKUP(L216,'[1]POS_EAD_0112 a 3101_CAMP. REG)'!$F$5:$P$231,11,FALSE)</f>
        <v>0.5</v>
      </c>
      <c r="U216" s="73">
        <f>VLOOKUP(L216,'[1]POS_EAD_0112 a 3101_CAMP. REG)'!$F$5:$Q$231,12,FALSE)</f>
        <v>182.57</v>
      </c>
      <c r="W216" s="121" t="s">
        <v>69</v>
      </c>
      <c r="X216" s="69" t="s">
        <v>19</v>
      </c>
      <c r="Y216" s="69" t="str">
        <f>VLOOKUP(W216,'[1]POS_EAD_0112 a 3101_CAMP. REG)'!$F$231:$G$461,2,FALSE)</f>
        <v>Humanas</v>
      </c>
      <c r="Z216" s="68">
        <f>VLOOKUP(W216,'[1]POS_EAD_0112 a 3101_CAMP. REG)'!$F$231:$H$461,3,FALSE)</f>
        <v>6</v>
      </c>
      <c r="AA216" s="68">
        <f>VLOOKUP(W216,'[1]POS_EAD_0112 a 3101_CAMP. REG)'!$F$231:$I$461,4,FALSE)</f>
        <v>13</v>
      </c>
      <c r="AB216" s="73">
        <f>VLOOKUP(W216,'[1]POS_EAD_0112 a 3101_CAMP. REG)'!$F$231:$J$461,5,FALSE)</f>
        <v>439.79280900000003</v>
      </c>
      <c r="AC216" s="72">
        <f>VLOOKUP(W216,'[1]POS_EAD_0112 a 3101_CAMP. REG)'!$F$231:$L$461,7,FALSE)</f>
        <v>0.45</v>
      </c>
      <c r="AD216" s="73">
        <f>VLOOKUP(W216,'[1]POS_EAD_0112 a 3101_CAMP. REG)'!$F$231:$M$461,8,FALSE)</f>
        <v>217.7</v>
      </c>
      <c r="AE216" s="72">
        <f>VLOOKUP(W216,'[1]POS_EAD_0112 a 3101_CAMP. REG)'!$F$231:$P$461,11,FALSE)</f>
        <v>0.5</v>
      </c>
      <c r="AF216" s="73">
        <f>VLOOKUP(W216,'[1]POS_EAD_0112 a 3101_CAMP. REG)'!$F$231:$Q$461,12,FALSE)</f>
        <v>197.91</v>
      </c>
      <c r="AH216" s="121" t="s">
        <v>69</v>
      </c>
      <c r="AI216" s="69" t="s">
        <v>19</v>
      </c>
      <c r="AJ216" s="68" t="str">
        <f>VLOOKUP(UNG[[#This Row],[CURSO]],'[1]POS_EAD_0112 a 3101_CAMP. REG)'!$F$463:$G$688,2,FALSE)</f>
        <v>Humanas</v>
      </c>
      <c r="AK216" s="68">
        <f>VLOOKUP(UNG[[#This Row],[CURSO]],'[1]POS_EAD_0112 a 3101_CAMP. REG)'!$F$463:$H$688,3,FALSE)</f>
        <v>6</v>
      </c>
      <c r="AL216" s="68">
        <f>VLOOKUP(UNG[[#This Row],[CURSO]],'[1]POS_EAD_0112 a 3101_CAMP. REG)'!$F$463:$I$688,4,FALSE)</f>
        <v>13</v>
      </c>
      <c r="AM216" s="71">
        <f>VLOOKUP(UNG[[#This Row],[CURSO]],'[1]POS_EAD_0112 a 3101_CAMP. REG)'!$F$463:$J$688,5,FALSE)</f>
        <v>405.70905000000005</v>
      </c>
      <c r="AN216" s="124">
        <f>VLOOKUP(UNG[[#This Row],[CURSO]],'[1]POS_EAD_0112 a 3101_CAMP. REG)'!$F$463:$L$688,7,FALSE)</f>
        <v>0.45</v>
      </c>
      <c r="AO216" s="71">
        <f>VLOOKUP(UNG[[#This Row],[CURSO]],'[1]POS_EAD_0112 a 3101_CAMP. REG)'!$F$463:$M$688,8,FALSE)</f>
        <v>200.83</v>
      </c>
      <c r="AP216" s="124">
        <f>VLOOKUP(UNG[[#This Row],[CURSO]],'[1]POS_EAD_0112 a 3101_CAMP. REG)'!$F$463:$P$688,11,FALSE)</f>
        <v>0.5</v>
      </c>
      <c r="AQ216" s="71">
        <f>VLOOKUP(UNG[[#This Row],[CURSO]],'[1]POS_EAD_0112 a 3101_CAMP. REG)'!$F$463:$Q$688,12,FALSE)</f>
        <v>182.57</v>
      </c>
      <c r="AS216" s="121" t="s">
        <v>69</v>
      </c>
      <c r="AT216" s="69" t="s">
        <v>19</v>
      </c>
      <c r="AU216" s="69" t="str">
        <f>VLOOKUP(UNINASSAU[[#This Row],[CURSO]],'[1]POS_EAD_0112 a 3101_CAMP. REG)'!$F$690:$G$915,2,FALSE)</f>
        <v>Humanas</v>
      </c>
      <c r="AV216" s="69">
        <f>VLOOKUP(UNINASSAU[[#This Row],[CURSO]],'[1]POS_EAD_0112 a 3101_CAMP. REG)'!$F$690:$H$915,3,FALSE)</f>
        <v>6</v>
      </c>
      <c r="AW216" s="69">
        <f>VLOOKUP(UNINASSAU[[#This Row],[CURSO]],'[1]POS_EAD_0112 a 3101_CAMP. REG)'!$F$690:$I$915,4,FALSE)</f>
        <v>13</v>
      </c>
      <c r="AX216" s="73">
        <f>VLOOKUP(UNINASSAU[[#This Row],[CURSO]],'[1]POS_EAD_0112 a 3101_CAMP. REG)'!$F$690:$J$915,5,FALSE)</f>
        <v>405.70905000000005</v>
      </c>
      <c r="AY216" s="72">
        <f>VLOOKUP(UNINASSAU[[#This Row],[CURSO]],'[1]POS_EAD_0112 a 3101_CAMP. REG)'!$F$690:$L$915,7,FALSE)</f>
        <v>0.45</v>
      </c>
      <c r="AZ216" s="73">
        <f>VLOOKUP(UNINASSAU[[#This Row],[CURSO]],'[1]POS_EAD_0112 a 3101_CAMP. REG)'!$F$690:$N$915,8,FALSE)</f>
        <v>200.83</v>
      </c>
      <c r="BA216" s="72">
        <f>VLOOKUP(UNINASSAU[[#This Row],[CURSO]],'[1]POS_EAD_0112 a 3101_CAMP. REG)'!$F$690:$P$915,11,FALSE)</f>
        <v>0.5</v>
      </c>
      <c r="BB216" s="73">
        <f>VLOOKUP(UNINASSAU[[#This Row],[CURSO]],'[1]POS_EAD_0112 a 3101_CAMP. REG)'!$F$690:$Q$915,12,FALSE)</f>
        <v>182.57</v>
      </c>
      <c r="BD216" s="104">
        <v>213</v>
      </c>
      <c r="BE216" s="121" t="s">
        <v>69</v>
      </c>
      <c r="BF216" s="69" t="s">
        <v>19</v>
      </c>
    </row>
    <row r="217" spans="12:58" x14ac:dyDescent="0.25">
      <c r="L217" s="121" t="s">
        <v>65</v>
      </c>
      <c r="M217" s="69" t="s">
        <v>19</v>
      </c>
      <c r="N217" s="69" t="str">
        <f>VLOOKUP($L$4,'[1]POS_EAD_0112 a 3101_CAMP. REG)'!$F$5:$G$231,2,FALSE)</f>
        <v>Humanas</v>
      </c>
      <c r="O217" s="69">
        <f>VLOOKUP(L217,'[1]POS_EAD_0112 a 3101_CAMP. REG)'!$F$5:$H$231,3,FALSE)</f>
        <v>6</v>
      </c>
      <c r="P217" s="68">
        <f>VLOOKUP(L217,'[1]POS_EAD_0112 a 3101_CAMP. REG)'!$F$5:$I$231,4,FALSE)</f>
        <v>13</v>
      </c>
      <c r="Q217" s="73">
        <f>VLOOKUP(L217,'[1]POS_EAD_0112 a 3101_CAMP. REG)'!$F$5:$J$231,5,FALSE)</f>
        <v>405.70905000000005</v>
      </c>
      <c r="R217" s="124">
        <f>VLOOKUP(L217,'[1]POS_EAD_0112 a 3101_CAMP. REG)'!$F$5:$L$231,7,FALSE)</f>
        <v>0.45</v>
      </c>
      <c r="S217" s="73">
        <f>VLOOKUP(L217,'[1]POS_EAD_0112 a 3101_CAMP. REG)'!$F$5:$M$231,8,FALSE)</f>
        <v>200.83</v>
      </c>
      <c r="T217" s="124">
        <f>VLOOKUP(L217,'[1]POS_EAD_0112 a 3101_CAMP. REG)'!$F$5:$P$231,11,FALSE)</f>
        <v>0.5</v>
      </c>
      <c r="U217" s="73">
        <f>VLOOKUP(L217,'[1]POS_EAD_0112 a 3101_CAMP. REG)'!$F$5:$Q$231,12,FALSE)</f>
        <v>182.57</v>
      </c>
      <c r="W217" s="121" t="s">
        <v>65</v>
      </c>
      <c r="X217" s="69" t="s">
        <v>19</v>
      </c>
      <c r="Y217" s="69" t="str">
        <f>VLOOKUP(W217,'[1]POS_EAD_0112 a 3101_CAMP. REG)'!$F$231:$G$461,2,FALSE)</f>
        <v>Humanas</v>
      </c>
      <c r="Z217" s="68">
        <f>VLOOKUP(W217,'[1]POS_EAD_0112 a 3101_CAMP. REG)'!$F$231:$H$461,3,FALSE)</f>
        <v>6</v>
      </c>
      <c r="AA217" s="68">
        <f>VLOOKUP(W217,'[1]POS_EAD_0112 a 3101_CAMP. REG)'!$F$231:$I$461,4,FALSE)</f>
        <v>13</v>
      </c>
      <c r="AB217" s="73">
        <f>VLOOKUP(W217,'[1]POS_EAD_0112 a 3101_CAMP. REG)'!$F$231:$J$461,5,FALSE)</f>
        <v>439.79280900000003</v>
      </c>
      <c r="AC217" s="72">
        <f>VLOOKUP(W217,'[1]POS_EAD_0112 a 3101_CAMP. REG)'!$F$231:$L$461,7,FALSE)</f>
        <v>0.45</v>
      </c>
      <c r="AD217" s="73">
        <f>VLOOKUP(W217,'[1]POS_EAD_0112 a 3101_CAMP. REG)'!$F$231:$M$461,8,FALSE)</f>
        <v>217.7</v>
      </c>
      <c r="AE217" s="72">
        <f>VLOOKUP(W217,'[1]POS_EAD_0112 a 3101_CAMP. REG)'!$F$231:$P$461,11,FALSE)</f>
        <v>0.5</v>
      </c>
      <c r="AF217" s="73">
        <f>VLOOKUP(W217,'[1]POS_EAD_0112 a 3101_CAMP. REG)'!$F$231:$Q$461,12,FALSE)</f>
        <v>197.91</v>
      </c>
      <c r="AH217" s="121" t="s">
        <v>65</v>
      </c>
      <c r="AI217" s="69" t="s">
        <v>19</v>
      </c>
      <c r="AJ217" s="68" t="str">
        <f>VLOOKUP(UNG[[#This Row],[CURSO]],'[1]POS_EAD_0112 a 3101_CAMP. REG)'!$F$463:$G$688,2,FALSE)</f>
        <v>Humanas</v>
      </c>
      <c r="AK217" s="68">
        <f>VLOOKUP(UNG[[#This Row],[CURSO]],'[1]POS_EAD_0112 a 3101_CAMP. REG)'!$F$463:$H$688,3,FALSE)</f>
        <v>6</v>
      </c>
      <c r="AL217" s="68">
        <f>VLOOKUP(UNG[[#This Row],[CURSO]],'[1]POS_EAD_0112 a 3101_CAMP. REG)'!$F$463:$I$688,4,FALSE)</f>
        <v>13</v>
      </c>
      <c r="AM217" s="71">
        <f>VLOOKUP(UNG[[#This Row],[CURSO]],'[1]POS_EAD_0112 a 3101_CAMP. REG)'!$F$463:$J$688,5,FALSE)</f>
        <v>405.70905000000005</v>
      </c>
      <c r="AN217" s="124">
        <f>VLOOKUP(UNG[[#This Row],[CURSO]],'[1]POS_EAD_0112 a 3101_CAMP. REG)'!$F$463:$L$688,7,FALSE)</f>
        <v>0.45</v>
      </c>
      <c r="AO217" s="71">
        <f>VLOOKUP(UNG[[#This Row],[CURSO]],'[1]POS_EAD_0112 a 3101_CAMP. REG)'!$F$463:$M$688,8,FALSE)</f>
        <v>200.83</v>
      </c>
      <c r="AP217" s="124">
        <f>VLOOKUP(UNG[[#This Row],[CURSO]],'[1]POS_EAD_0112 a 3101_CAMP. REG)'!$F$463:$P$688,11,FALSE)</f>
        <v>0.5</v>
      </c>
      <c r="AQ217" s="71">
        <f>VLOOKUP(UNG[[#This Row],[CURSO]],'[1]POS_EAD_0112 a 3101_CAMP. REG)'!$F$463:$Q$688,12,FALSE)</f>
        <v>182.57</v>
      </c>
      <c r="AS217" s="121" t="s">
        <v>65</v>
      </c>
      <c r="AT217" s="69" t="s">
        <v>19</v>
      </c>
      <c r="AU217" s="69" t="str">
        <f>VLOOKUP(UNINASSAU[[#This Row],[CURSO]],'[1]POS_EAD_0112 a 3101_CAMP. REG)'!$F$690:$G$915,2,FALSE)</f>
        <v>Humanas</v>
      </c>
      <c r="AV217" s="69">
        <f>VLOOKUP(UNINASSAU[[#This Row],[CURSO]],'[1]POS_EAD_0112 a 3101_CAMP. REG)'!$F$690:$H$915,3,FALSE)</f>
        <v>6</v>
      </c>
      <c r="AW217" s="69">
        <f>VLOOKUP(UNINASSAU[[#This Row],[CURSO]],'[1]POS_EAD_0112 a 3101_CAMP. REG)'!$F$690:$I$915,4,FALSE)</f>
        <v>13</v>
      </c>
      <c r="AX217" s="73">
        <f>VLOOKUP(UNINASSAU[[#This Row],[CURSO]],'[1]POS_EAD_0112 a 3101_CAMP. REG)'!$F$690:$J$915,5,FALSE)</f>
        <v>405.70905000000005</v>
      </c>
      <c r="AY217" s="72">
        <f>VLOOKUP(UNINASSAU[[#This Row],[CURSO]],'[1]POS_EAD_0112 a 3101_CAMP. REG)'!$F$690:$L$915,7,FALSE)</f>
        <v>0.45</v>
      </c>
      <c r="AZ217" s="73">
        <f>VLOOKUP(UNINASSAU[[#This Row],[CURSO]],'[1]POS_EAD_0112 a 3101_CAMP. REG)'!$F$690:$N$915,8,FALSE)</f>
        <v>200.83</v>
      </c>
      <c r="BA217" s="72">
        <f>VLOOKUP(UNINASSAU[[#This Row],[CURSO]],'[1]POS_EAD_0112 a 3101_CAMP. REG)'!$F$690:$P$915,11,FALSE)</f>
        <v>0.5</v>
      </c>
      <c r="BB217" s="73">
        <f>VLOOKUP(UNINASSAU[[#This Row],[CURSO]],'[1]POS_EAD_0112 a 3101_CAMP. REG)'!$F$690:$Q$915,12,FALSE)</f>
        <v>182.57</v>
      </c>
      <c r="BD217" s="104">
        <v>214</v>
      </c>
      <c r="BE217" s="121" t="s">
        <v>65</v>
      </c>
      <c r="BF217" s="69" t="s">
        <v>19</v>
      </c>
    </row>
    <row r="218" spans="12:58" x14ac:dyDescent="0.25">
      <c r="L218" s="121" t="s">
        <v>72</v>
      </c>
      <c r="M218" s="69" t="s">
        <v>19</v>
      </c>
      <c r="N218" s="69" t="str">
        <f>VLOOKUP($L$4,'[1]POS_EAD_0112 a 3101_CAMP. REG)'!$F$5:$G$231,2,FALSE)</f>
        <v>Humanas</v>
      </c>
      <c r="O218" s="69">
        <f>VLOOKUP(L218,'[1]POS_EAD_0112 a 3101_CAMP. REG)'!$F$5:$H$231,3,FALSE)</f>
        <v>6</v>
      </c>
      <c r="P218" s="68">
        <f>VLOOKUP(L218,'[1]POS_EAD_0112 a 3101_CAMP. REG)'!$F$5:$I$231,4,FALSE)</f>
        <v>13</v>
      </c>
      <c r="Q218" s="73">
        <f>VLOOKUP(L218,'[1]POS_EAD_0112 a 3101_CAMP. REG)'!$F$5:$J$231,5,FALSE)</f>
        <v>405.70905000000005</v>
      </c>
      <c r="R218" s="124">
        <f>VLOOKUP(L218,'[1]POS_EAD_0112 a 3101_CAMP. REG)'!$F$5:$L$231,7,FALSE)</f>
        <v>0.45</v>
      </c>
      <c r="S218" s="73">
        <f>VLOOKUP(L218,'[1]POS_EAD_0112 a 3101_CAMP. REG)'!$F$5:$M$231,8,FALSE)</f>
        <v>200.83</v>
      </c>
      <c r="T218" s="124">
        <f>VLOOKUP(L218,'[1]POS_EAD_0112 a 3101_CAMP. REG)'!$F$5:$P$231,11,FALSE)</f>
        <v>0.5</v>
      </c>
      <c r="U218" s="73">
        <f>VLOOKUP(L218,'[1]POS_EAD_0112 a 3101_CAMP. REG)'!$F$5:$Q$231,12,FALSE)</f>
        <v>182.57</v>
      </c>
      <c r="W218" s="121" t="s">
        <v>72</v>
      </c>
      <c r="X218" s="69" t="s">
        <v>19</v>
      </c>
      <c r="Y218" s="69" t="str">
        <f>VLOOKUP(W218,'[1]POS_EAD_0112 a 3101_CAMP. REG)'!$F$231:$G$461,2,FALSE)</f>
        <v>Humanas</v>
      </c>
      <c r="Z218" s="68">
        <f>VLOOKUP(W218,'[1]POS_EAD_0112 a 3101_CAMP. REG)'!$F$231:$H$461,3,FALSE)</f>
        <v>6</v>
      </c>
      <c r="AA218" s="68">
        <f>VLOOKUP(W218,'[1]POS_EAD_0112 a 3101_CAMP. REG)'!$F$231:$I$461,4,FALSE)</f>
        <v>13</v>
      </c>
      <c r="AB218" s="73">
        <f>VLOOKUP(W218,'[1]POS_EAD_0112 a 3101_CAMP. REG)'!$F$231:$J$461,5,FALSE)</f>
        <v>439.79280900000003</v>
      </c>
      <c r="AC218" s="72">
        <f>VLOOKUP(W218,'[1]POS_EAD_0112 a 3101_CAMP. REG)'!$F$231:$L$461,7,FALSE)</f>
        <v>0.45</v>
      </c>
      <c r="AD218" s="73">
        <f>VLOOKUP(W218,'[1]POS_EAD_0112 a 3101_CAMP. REG)'!$F$231:$M$461,8,FALSE)</f>
        <v>217.7</v>
      </c>
      <c r="AE218" s="72">
        <f>VLOOKUP(W218,'[1]POS_EAD_0112 a 3101_CAMP. REG)'!$F$231:$P$461,11,FALSE)</f>
        <v>0.5</v>
      </c>
      <c r="AF218" s="73">
        <f>VLOOKUP(W218,'[1]POS_EAD_0112 a 3101_CAMP. REG)'!$F$231:$Q$461,12,FALSE)</f>
        <v>197.91</v>
      </c>
      <c r="AH218" s="121" t="s">
        <v>72</v>
      </c>
      <c r="AI218" s="69" t="s">
        <v>19</v>
      </c>
      <c r="AJ218" s="68" t="str">
        <f>VLOOKUP(UNG[[#This Row],[CURSO]],'[1]POS_EAD_0112 a 3101_CAMP. REG)'!$F$463:$G$688,2,FALSE)</f>
        <v>Humanas</v>
      </c>
      <c r="AK218" s="68">
        <f>VLOOKUP(UNG[[#This Row],[CURSO]],'[1]POS_EAD_0112 a 3101_CAMP. REG)'!$F$463:$H$688,3,FALSE)</f>
        <v>6</v>
      </c>
      <c r="AL218" s="68">
        <f>VLOOKUP(UNG[[#This Row],[CURSO]],'[1]POS_EAD_0112 a 3101_CAMP. REG)'!$F$463:$I$688,4,FALSE)</f>
        <v>13</v>
      </c>
      <c r="AM218" s="71">
        <f>VLOOKUP(UNG[[#This Row],[CURSO]],'[1]POS_EAD_0112 a 3101_CAMP. REG)'!$F$463:$J$688,5,FALSE)</f>
        <v>405.70905000000005</v>
      </c>
      <c r="AN218" s="124">
        <f>VLOOKUP(UNG[[#This Row],[CURSO]],'[1]POS_EAD_0112 a 3101_CAMP. REG)'!$F$463:$L$688,7,FALSE)</f>
        <v>0.45</v>
      </c>
      <c r="AO218" s="71">
        <f>VLOOKUP(UNG[[#This Row],[CURSO]],'[1]POS_EAD_0112 a 3101_CAMP. REG)'!$F$463:$M$688,8,FALSE)</f>
        <v>200.83</v>
      </c>
      <c r="AP218" s="124">
        <f>VLOOKUP(UNG[[#This Row],[CURSO]],'[1]POS_EAD_0112 a 3101_CAMP. REG)'!$F$463:$P$688,11,FALSE)</f>
        <v>0.5</v>
      </c>
      <c r="AQ218" s="71">
        <f>VLOOKUP(UNG[[#This Row],[CURSO]],'[1]POS_EAD_0112 a 3101_CAMP. REG)'!$F$463:$Q$688,12,FALSE)</f>
        <v>182.57</v>
      </c>
      <c r="AS218" s="121" t="s">
        <v>72</v>
      </c>
      <c r="AT218" s="69" t="s">
        <v>19</v>
      </c>
      <c r="AU218" s="69" t="str">
        <f>VLOOKUP(UNINASSAU[[#This Row],[CURSO]],'[1]POS_EAD_0112 a 3101_CAMP. REG)'!$F$690:$G$915,2,FALSE)</f>
        <v>Humanas</v>
      </c>
      <c r="AV218" s="69">
        <f>VLOOKUP(UNINASSAU[[#This Row],[CURSO]],'[1]POS_EAD_0112 a 3101_CAMP. REG)'!$F$690:$H$915,3,FALSE)</f>
        <v>6</v>
      </c>
      <c r="AW218" s="69">
        <f>VLOOKUP(UNINASSAU[[#This Row],[CURSO]],'[1]POS_EAD_0112 a 3101_CAMP. REG)'!$F$690:$I$915,4,FALSE)</f>
        <v>13</v>
      </c>
      <c r="AX218" s="73">
        <f>VLOOKUP(UNINASSAU[[#This Row],[CURSO]],'[1]POS_EAD_0112 a 3101_CAMP. REG)'!$F$690:$J$915,5,FALSE)</f>
        <v>405.70905000000005</v>
      </c>
      <c r="AY218" s="72">
        <f>VLOOKUP(UNINASSAU[[#This Row],[CURSO]],'[1]POS_EAD_0112 a 3101_CAMP. REG)'!$F$690:$L$915,7,FALSE)</f>
        <v>0.45</v>
      </c>
      <c r="AZ218" s="73">
        <f>VLOOKUP(UNINASSAU[[#This Row],[CURSO]],'[1]POS_EAD_0112 a 3101_CAMP. REG)'!$F$690:$N$915,8,FALSE)</f>
        <v>200.83</v>
      </c>
      <c r="BA218" s="72">
        <f>VLOOKUP(UNINASSAU[[#This Row],[CURSO]],'[1]POS_EAD_0112 a 3101_CAMP. REG)'!$F$690:$P$915,11,FALSE)</f>
        <v>0.5</v>
      </c>
      <c r="BB218" s="73">
        <f>VLOOKUP(UNINASSAU[[#This Row],[CURSO]],'[1]POS_EAD_0112 a 3101_CAMP. REG)'!$F$690:$Q$915,12,FALSE)</f>
        <v>182.57</v>
      </c>
      <c r="BD218" s="104">
        <v>215</v>
      </c>
      <c r="BE218" s="121" t="s">
        <v>72</v>
      </c>
      <c r="BF218" s="69" t="s">
        <v>19</v>
      </c>
    </row>
    <row r="219" spans="12:58" x14ac:dyDescent="0.25">
      <c r="L219" s="121" t="s">
        <v>68</v>
      </c>
      <c r="M219" s="69" t="s">
        <v>19</v>
      </c>
      <c r="N219" s="69" t="str">
        <f>VLOOKUP($L$4,'[1]POS_EAD_0112 a 3101_CAMP. REG)'!$F$5:$G$231,2,FALSE)</f>
        <v>Humanas</v>
      </c>
      <c r="O219" s="69">
        <f>VLOOKUP(L219,'[1]POS_EAD_0112 a 3101_CAMP. REG)'!$F$5:$H$231,3,FALSE)</f>
        <v>6</v>
      </c>
      <c r="P219" s="68">
        <f>VLOOKUP(L219,'[1]POS_EAD_0112 a 3101_CAMP. REG)'!$F$5:$I$231,4,FALSE)</f>
        <v>13</v>
      </c>
      <c r="Q219" s="73">
        <f>VLOOKUP(L219,'[1]POS_EAD_0112 a 3101_CAMP. REG)'!$F$5:$J$231,5,FALSE)</f>
        <v>405.70905000000005</v>
      </c>
      <c r="R219" s="124">
        <f>VLOOKUP(L219,'[1]POS_EAD_0112 a 3101_CAMP. REG)'!$F$5:$L$231,7,FALSE)</f>
        <v>0.45</v>
      </c>
      <c r="S219" s="73">
        <f>VLOOKUP(L219,'[1]POS_EAD_0112 a 3101_CAMP. REG)'!$F$5:$M$231,8,FALSE)</f>
        <v>200.83</v>
      </c>
      <c r="T219" s="124">
        <f>VLOOKUP(L219,'[1]POS_EAD_0112 a 3101_CAMP. REG)'!$F$5:$P$231,11,FALSE)</f>
        <v>0.5</v>
      </c>
      <c r="U219" s="73">
        <f>VLOOKUP(L219,'[1]POS_EAD_0112 a 3101_CAMP. REG)'!$F$5:$Q$231,12,FALSE)</f>
        <v>182.57</v>
      </c>
      <c r="W219" s="121" t="s">
        <v>68</v>
      </c>
      <c r="X219" s="69" t="s">
        <v>19</v>
      </c>
      <c r="Y219" s="69" t="str">
        <f>VLOOKUP(W219,'[1]POS_EAD_0112 a 3101_CAMP. REG)'!$F$231:$G$461,2,FALSE)</f>
        <v>Humanas</v>
      </c>
      <c r="Z219" s="68">
        <f>VLOOKUP(W219,'[1]POS_EAD_0112 a 3101_CAMP. REG)'!$F$231:$H$461,3,FALSE)</f>
        <v>6</v>
      </c>
      <c r="AA219" s="68">
        <f>VLOOKUP(W219,'[1]POS_EAD_0112 a 3101_CAMP. REG)'!$F$231:$I$461,4,FALSE)</f>
        <v>13</v>
      </c>
      <c r="AB219" s="73">
        <f>VLOOKUP(W219,'[1]POS_EAD_0112 a 3101_CAMP. REG)'!$F$231:$J$461,5,FALSE)</f>
        <v>439.79280900000003</v>
      </c>
      <c r="AC219" s="72">
        <f>VLOOKUP(W219,'[1]POS_EAD_0112 a 3101_CAMP. REG)'!$F$231:$L$461,7,FALSE)</f>
        <v>0.45</v>
      </c>
      <c r="AD219" s="73">
        <f>VLOOKUP(W219,'[1]POS_EAD_0112 a 3101_CAMP. REG)'!$F$231:$M$461,8,FALSE)</f>
        <v>217.7</v>
      </c>
      <c r="AE219" s="72">
        <f>VLOOKUP(W219,'[1]POS_EAD_0112 a 3101_CAMP. REG)'!$F$231:$P$461,11,FALSE)</f>
        <v>0.5</v>
      </c>
      <c r="AF219" s="73">
        <f>VLOOKUP(W219,'[1]POS_EAD_0112 a 3101_CAMP. REG)'!$F$231:$Q$461,12,FALSE)</f>
        <v>197.91</v>
      </c>
      <c r="AH219" s="121" t="s">
        <v>68</v>
      </c>
      <c r="AI219" s="69" t="s">
        <v>19</v>
      </c>
      <c r="AJ219" s="68" t="str">
        <f>VLOOKUP(UNG[[#This Row],[CURSO]],'[1]POS_EAD_0112 a 3101_CAMP. REG)'!$F$463:$G$688,2,FALSE)</f>
        <v>Humanas</v>
      </c>
      <c r="AK219" s="68">
        <f>VLOOKUP(UNG[[#This Row],[CURSO]],'[1]POS_EAD_0112 a 3101_CAMP. REG)'!$F$463:$H$688,3,FALSE)</f>
        <v>6</v>
      </c>
      <c r="AL219" s="68">
        <f>VLOOKUP(UNG[[#This Row],[CURSO]],'[1]POS_EAD_0112 a 3101_CAMP. REG)'!$F$463:$I$688,4,FALSE)</f>
        <v>13</v>
      </c>
      <c r="AM219" s="71">
        <f>VLOOKUP(UNG[[#This Row],[CURSO]],'[1]POS_EAD_0112 a 3101_CAMP. REG)'!$F$463:$J$688,5,FALSE)</f>
        <v>405.70905000000005</v>
      </c>
      <c r="AN219" s="124">
        <f>VLOOKUP(UNG[[#This Row],[CURSO]],'[1]POS_EAD_0112 a 3101_CAMP. REG)'!$F$463:$L$688,7,FALSE)</f>
        <v>0.45</v>
      </c>
      <c r="AO219" s="71">
        <f>VLOOKUP(UNG[[#This Row],[CURSO]],'[1]POS_EAD_0112 a 3101_CAMP. REG)'!$F$463:$M$688,8,FALSE)</f>
        <v>200.83</v>
      </c>
      <c r="AP219" s="124">
        <f>VLOOKUP(UNG[[#This Row],[CURSO]],'[1]POS_EAD_0112 a 3101_CAMP. REG)'!$F$463:$P$688,11,FALSE)</f>
        <v>0.5</v>
      </c>
      <c r="AQ219" s="71">
        <f>VLOOKUP(UNG[[#This Row],[CURSO]],'[1]POS_EAD_0112 a 3101_CAMP. REG)'!$F$463:$Q$688,12,FALSE)</f>
        <v>182.57</v>
      </c>
      <c r="AS219" s="121" t="s">
        <v>68</v>
      </c>
      <c r="AT219" s="69" t="s">
        <v>19</v>
      </c>
      <c r="AU219" s="69" t="str">
        <f>VLOOKUP(UNINASSAU[[#This Row],[CURSO]],'[1]POS_EAD_0112 a 3101_CAMP. REG)'!$F$690:$G$915,2,FALSE)</f>
        <v>Humanas</v>
      </c>
      <c r="AV219" s="69">
        <f>VLOOKUP(UNINASSAU[[#This Row],[CURSO]],'[1]POS_EAD_0112 a 3101_CAMP. REG)'!$F$690:$H$915,3,FALSE)</f>
        <v>6</v>
      </c>
      <c r="AW219" s="69">
        <f>VLOOKUP(UNINASSAU[[#This Row],[CURSO]],'[1]POS_EAD_0112 a 3101_CAMP. REG)'!$F$690:$I$915,4,FALSE)</f>
        <v>13</v>
      </c>
      <c r="AX219" s="73">
        <f>VLOOKUP(UNINASSAU[[#This Row],[CURSO]],'[1]POS_EAD_0112 a 3101_CAMP. REG)'!$F$690:$J$915,5,FALSE)</f>
        <v>405.70905000000005</v>
      </c>
      <c r="AY219" s="72">
        <f>VLOOKUP(UNINASSAU[[#This Row],[CURSO]],'[1]POS_EAD_0112 a 3101_CAMP. REG)'!$F$690:$L$915,7,FALSE)</f>
        <v>0.45</v>
      </c>
      <c r="AZ219" s="73">
        <f>VLOOKUP(UNINASSAU[[#This Row],[CURSO]],'[1]POS_EAD_0112 a 3101_CAMP. REG)'!$F$690:$N$915,8,FALSE)</f>
        <v>200.83</v>
      </c>
      <c r="BA219" s="72">
        <f>VLOOKUP(UNINASSAU[[#This Row],[CURSO]],'[1]POS_EAD_0112 a 3101_CAMP. REG)'!$F$690:$P$915,11,FALSE)</f>
        <v>0.5</v>
      </c>
      <c r="BB219" s="73">
        <f>VLOOKUP(UNINASSAU[[#This Row],[CURSO]],'[1]POS_EAD_0112 a 3101_CAMP. REG)'!$F$690:$Q$915,12,FALSE)</f>
        <v>182.57</v>
      </c>
      <c r="BD219" s="104">
        <v>216</v>
      </c>
      <c r="BE219" s="121" t="s">
        <v>68</v>
      </c>
      <c r="BF219" s="69" t="s">
        <v>19</v>
      </c>
    </row>
    <row r="220" spans="12:58" x14ac:dyDescent="0.25">
      <c r="L220" s="121" t="s">
        <v>76</v>
      </c>
      <c r="M220" s="69" t="s">
        <v>19</v>
      </c>
      <c r="N220" s="69" t="str">
        <f>VLOOKUP($L$4,'[1]POS_EAD_0112 a 3101_CAMP. REG)'!$F$5:$G$231,2,FALSE)</f>
        <v>Humanas</v>
      </c>
      <c r="O220" s="69">
        <f>VLOOKUP(L220,'[1]POS_EAD_0112 a 3101_CAMP. REG)'!$F$5:$H$231,3,FALSE)</f>
        <v>6</v>
      </c>
      <c r="P220" s="68">
        <f>VLOOKUP(L220,'[1]POS_EAD_0112 a 3101_CAMP. REG)'!$F$5:$I$231,4,FALSE)</f>
        <v>13</v>
      </c>
      <c r="Q220" s="73">
        <f>VLOOKUP(L220,'[1]POS_EAD_0112 a 3101_CAMP. REG)'!$F$5:$J$231,5,FALSE)</f>
        <v>269.33202599999998</v>
      </c>
      <c r="R220" s="124">
        <f>VLOOKUP(L220,'[1]POS_EAD_0112 a 3101_CAMP. REG)'!$F$5:$L$231,7,FALSE)</f>
        <v>0.45</v>
      </c>
      <c r="S220" s="73">
        <f>VLOOKUP(L220,'[1]POS_EAD_0112 a 3101_CAMP. REG)'!$F$5:$M$231,8,FALSE)</f>
        <v>133.32</v>
      </c>
      <c r="T220" s="124">
        <f>VLOOKUP(L220,'[1]POS_EAD_0112 a 3101_CAMP. REG)'!$F$5:$P$231,11,FALSE)</f>
        <v>0.5</v>
      </c>
      <c r="U220" s="73">
        <f>VLOOKUP(L220,'[1]POS_EAD_0112 a 3101_CAMP. REG)'!$F$5:$Q$231,12,FALSE)</f>
        <v>121.2</v>
      </c>
      <c r="W220" s="121" t="s">
        <v>76</v>
      </c>
      <c r="X220" s="69" t="s">
        <v>19</v>
      </c>
      <c r="Y220" s="69" t="str">
        <f>VLOOKUP(W220,'[1]POS_EAD_0112 a 3101_CAMP. REG)'!$F$231:$G$461,2,FALSE)</f>
        <v>Humanas</v>
      </c>
      <c r="Z220" s="68">
        <f>VLOOKUP(W220,'[1]POS_EAD_0112 a 3101_CAMP. REG)'!$F$231:$H$461,3,FALSE)</f>
        <v>6</v>
      </c>
      <c r="AA220" s="68">
        <f>VLOOKUP(W220,'[1]POS_EAD_0112 a 3101_CAMP. REG)'!$F$231:$I$461,4,FALSE)</f>
        <v>13</v>
      </c>
      <c r="AB220" s="73">
        <f>VLOOKUP(W220,'[1]POS_EAD_0112 a 3101_CAMP. REG)'!$F$231:$J$461,5,FALSE)</f>
        <v>303.42628200000001</v>
      </c>
      <c r="AC220" s="72">
        <f>VLOOKUP(W220,'[1]POS_EAD_0112 a 3101_CAMP. REG)'!$F$231:$L$461,7,FALSE)</f>
        <v>0.45</v>
      </c>
      <c r="AD220" s="73">
        <f>VLOOKUP(W220,'[1]POS_EAD_0112 a 3101_CAMP. REG)'!$F$231:$M$461,8,FALSE)</f>
        <v>150.19999999999999</v>
      </c>
      <c r="AE220" s="72">
        <f>VLOOKUP(W220,'[1]POS_EAD_0112 a 3101_CAMP. REG)'!$F$231:$P$461,11,FALSE)</f>
        <v>0.5</v>
      </c>
      <c r="AF220" s="73">
        <f>VLOOKUP(W220,'[1]POS_EAD_0112 a 3101_CAMP. REG)'!$F$231:$Q$461,12,FALSE)</f>
        <v>136.54</v>
      </c>
      <c r="AH220" s="121" t="s">
        <v>76</v>
      </c>
      <c r="AI220" s="69" t="s">
        <v>19</v>
      </c>
      <c r="AJ220" s="68" t="str">
        <f>VLOOKUP(UNG[[#This Row],[CURSO]],'[1]POS_EAD_0112 a 3101_CAMP. REG)'!$F$463:$G$688,2,FALSE)</f>
        <v>Humanas</v>
      </c>
      <c r="AK220" s="68">
        <f>VLOOKUP(UNG[[#This Row],[CURSO]],'[1]POS_EAD_0112 a 3101_CAMP. REG)'!$F$463:$H$688,3,FALSE)</f>
        <v>6</v>
      </c>
      <c r="AL220" s="68">
        <f>VLOOKUP(UNG[[#This Row],[CURSO]],'[1]POS_EAD_0112 a 3101_CAMP. REG)'!$F$463:$I$688,4,FALSE)</f>
        <v>13</v>
      </c>
      <c r="AM220" s="71">
        <f>VLOOKUP(UNG[[#This Row],[CURSO]],'[1]POS_EAD_0112 a 3101_CAMP. REG)'!$F$463:$J$688,5,FALSE)</f>
        <v>269.33202599999998</v>
      </c>
      <c r="AN220" s="124">
        <f>VLOOKUP(UNG[[#This Row],[CURSO]],'[1]POS_EAD_0112 a 3101_CAMP. REG)'!$F$463:$L$688,7,FALSE)</f>
        <v>0.45</v>
      </c>
      <c r="AO220" s="71">
        <f>VLOOKUP(UNG[[#This Row],[CURSO]],'[1]POS_EAD_0112 a 3101_CAMP. REG)'!$F$463:$M$688,8,FALSE)</f>
        <v>133.32</v>
      </c>
      <c r="AP220" s="124">
        <f>VLOOKUP(UNG[[#This Row],[CURSO]],'[1]POS_EAD_0112 a 3101_CAMP. REG)'!$F$463:$P$688,11,FALSE)</f>
        <v>0.5</v>
      </c>
      <c r="AQ220" s="71">
        <f>VLOOKUP(UNG[[#This Row],[CURSO]],'[1]POS_EAD_0112 a 3101_CAMP. REG)'!$F$463:$Q$688,12,FALSE)</f>
        <v>121.2</v>
      </c>
      <c r="AS220" s="121" t="s">
        <v>76</v>
      </c>
      <c r="AT220" s="69" t="s">
        <v>19</v>
      </c>
      <c r="AU220" s="69" t="str">
        <f>VLOOKUP(UNINASSAU[[#This Row],[CURSO]],'[1]POS_EAD_0112 a 3101_CAMP. REG)'!$F$690:$G$915,2,FALSE)</f>
        <v>Humanas</v>
      </c>
      <c r="AV220" s="69">
        <f>VLOOKUP(UNINASSAU[[#This Row],[CURSO]],'[1]POS_EAD_0112 a 3101_CAMP. REG)'!$F$690:$H$915,3,FALSE)</f>
        <v>6</v>
      </c>
      <c r="AW220" s="69">
        <f>VLOOKUP(UNINASSAU[[#This Row],[CURSO]],'[1]POS_EAD_0112 a 3101_CAMP. REG)'!$F$690:$I$915,4,FALSE)</f>
        <v>13</v>
      </c>
      <c r="AX220" s="73">
        <f>VLOOKUP(UNINASSAU[[#This Row],[CURSO]],'[1]POS_EAD_0112 a 3101_CAMP. REG)'!$F$690:$J$915,5,FALSE)</f>
        <v>269.33202599999998</v>
      </c>
      <c r="AY220" s="72">
        <f>VLOOKUP(UNINASSAU[[#This Row],[CURSO]],'[1]POS_EAD_0112 a 3101_CAMP. REG)'!$F$690:$L$915,7,FALSE)</f>
        <v>0.45</v>
      </c>
      <c r="AZ220" s="73">
        <f>VLOOKUP(UNINASSAU[[#This Row],[CURSO]],'[1]POS_EAD_0112 a 3101_CAMP. REG)'!$F$690:$N$915,8,FALSE)</f>
        <v>133.32</v>
      </c>
      <c r="BA220" s="72">
        <f>VLOOKUP(UNINASSAU[[#This Row],[CURSO]],'[1]POS_EAD_0112 a 3101_CAMP. REG)'!$F$690:$P$915,11,FALSE)</f>
        <v>0.5</v>
      </c>
      <c r="BB220" s="73">
        <f>VLOOKUP(UNINASSAU[[#This Row],[CURSO]],'[1]POS_EAD_0112 a 3101_CAMP. REG)'!$F$690:$Q$915,12,FALSE)</f>
        <v>121.2</v>
      </c>
      <c r="BD220" s="104">
        <v>217</v>
      </c>
      <c r="BE220" s="121" t="s">
        <v>76</v>
      </c>
      <c r="BF220" s="69" t="s">
        <v>19</v>
      </c>
    </row>
    <row r="221" spans="12:58" x14ac:dyDescent="0.25">
      <c r="L221" s="121" t="s">
        <v>85</v>
      </c>
      <c r="M221" s="69" t="s">
        <v>19</v>
      </c>
      <c r="N221" s="69" t="str">
        <f>VLOOKUP($L$4,'[1]POS_EAD_0112 a 3101_CAMP. REG)'!$F$5:$G$231,2,FALSE)</f>
        <v>Humanas</v>
      </c>
      <c r="O221" s="69">
        <f>VLOOKUP(L221,'[1]POS_EAD_0112 a 3101_CAMP. REG)'!$F$5:$H$231,3,FALSE)</f>
        <v>6</v>
      </c>
      <c r="P221" s="68">
        <f>VLOOKUP(L221,'[1]POS_EAD_0112 a 3101_CAMP. REG)'!$F$5:$I$231,4,FALSE)</f>
        <v>13</v>
      </c>
      <c r="Q221" s="73">
        <f>VLOOKUP(L221,'[1]POS_EAD_0112 a 3101_CAMP. REG)'!$F$5:$J$231,5,FALSE)</f>
        <v>269.33202599999998</v>
      </c>
      <c r="R221" s="124">
        <f>VLOOKUP(L221,'[1]POS_EAD_0112 a 3101_CAMP. REG)'!$F$5:$L$231,7,FALSE)</f>
        <v>0.45</v>
      </c>
      <c r="S221" s="73">
        <f>VLOOKUP(L221,'[1]POS_EAD_0112 a 3101_CAMP. REG)'!$F$5:$M$231,8,FALSE)</f>
        <v>133.32</v>
      </c>
      <c r="T221" s="124">
        <f>VLOOKUP(L221,'[1]POS_EAD_0112 a 3101_CAMP. REG)'!$F$5:$P$231,11,FALSE)</f>
        <v>0.5</v>
      </c>
      <c r="U221" s="73">
        <f>VLOOKUP(L221,'[1]POS_EAD_0112 a 3101_CAMP. REG)'!$F$5:$Q$231,12,FALSE)</f>
        <v>121.2</v>
      </c>
      <c r="W221" s="121" t="s">
        <v>85</v>
      </c>
      <c r="X221" s="69" t="s">
        <v>19</v>
      </c>
      <c r="Y221" s="69" t="str">
        <f>VLOOKUP(W221,'[1]POS_EAD_0112 a 3101_CAMP. REG)'!$F$231:$G$461,2,FALSE)</f>
        <v>Humanas</v>
      </c>
      <c r="Z221" s="68">
        <f>VLOOKUP(W221,'[1]POS_EAD_0112 a 3101_CAMP. REG)'!$F$231:$H$461,3,FALSE)</f>
        <v>6</v>
      </c>
      <c r="AA221" s="68">
        <f>VLOOKUP(W221,'[1]POS_EAD_0112 a 3101_CAMP. REG)'!$F$231:$I$461,4,FALSE)</f>
        <v>13</v>
      </c>
      <c r="AB221" s="73">
        <f>VLOOKUP(W221,'[1]POS_EAD_0112 a 3101_CAMP. REG)'!$F$231:$J$461,5,FALSE)</f>
        <v>303.42628200000001</v>
      </c>
      <c r="AC221" s="72">
        <f>VLOOKUP(W221,'[1]POS_EAD_0112 a 3101_CAMP. REG)'!$F$231:$L$461,7,FALSE)</f>
        <v>0.45</v>
      </c>
      <c r="AD221" s="73">
        <f>VLOOKUP(W221,'[1]POS_EAD_0112 a 3101_CAMP. REG)'!$F$231:$M$461,8,FALSE)</f>
        <v>150.19999999999999</v>
      </c>
      <c r="AE221" s="72">
        <f>VLOOKUP(W221,'[1]POS_EAD_0112 a 3101_CAMP. REG)'!$F$231:$P$461,11,FALSE)</f>
        <v>0.5</v>
      </c>
      <c r="AF221" s="73">
        <f>VLOOKUP(W221,'[1]POS_EAD_0112 a 3101_CAMP. REG)'!$F$231:$Q$461,12,FALSE)</f>
        <v>136.54</v>
      </c>
      <c r="AH221" s="121" t="s">
        <v>85</v>
      </c>
      <c r="AI221" s="69" t="s">
        <v>19</v>
      </c>
      <c r="AJ221" s="68" t="str">
        <f>VLOOKUP(UNG[[#This Row],[CURSO]],'[1]POS_EAD_0112 a 3101_CAMP. REG)'!$F$463:$G$688,2,FALSE)</f>
        <v>Humanas</v>
      </c>
      <c r="AK221" s="68">
        <f>VLOOKUP(UNG[[#This Row],[CURSO]],'[1]POS_EAD_0112 a 3101_CAMP. REG)'!$F$463:$H$688,3,FALSE)</f>
        <v>6</v>
      </c>
      <c r="AL221" s="68">
        <f>VLOOKUP(UNG[[#This Row],[CURSO]],'[1]POS_EAD_0112 a 3101_CAMP. REG)'!$F$463:$I$688,4,FALSE)</f>
        <v>13</v>
      </c>
      <c r="AM221" s="71">
        <f>VLOOKUP(UNG[[#This Row],[CURSO]],'[1]POS_EAD_0112 a 3101_CAMP. REG)'!$F$463:$J$688,5,FALSE)</f>
        <v>269.33202599999998</v>
      </c>
      <c r="AN221" s="124">
        <f>VLOOKUP(UNG[[#This Row],[CURSO]],'[1]POS_EAD_0112 a 3101_CAMP. REG)'!$F$463:$L$688,7,FALSE)</f>
        <v>0.45</v>
      </c>
      <c r="AO221" s="71">
        <f>VLOOKUP(UNG[[#This Row],[CURSO]],'[1]POS_EAD_0112 a 3101_CAMP. REG)'!$F$463:$M$688,8,FALSE)</f>
        <v>133.32</v>
      </c>
      <c r="AP221" s="124">
        <f>VLOOKUP(UNG[[#This Row],[CURSO]],'[1]POS_EAD_0112 a 3101_CAMP. REG)'!$F$463:$P$688,11,FALSE)</f>
        <v>0.5</v>
      </c>
      <c r="AQ221" s="71">
        <f>VLOOKUP(UNG[[#This Row],[CURSO]],'[1]POS_EAD_0112 a 3101_CAMP. REG)'!$F$463:$Q$688,12,FALSE)</f>
        <v>121.2</v>
      </c>
      <c r="AS221" s="121" t="s">
        <v>85</v>
      </c>
      <c r="AT221" s="69" t="s">
        <v>19</v>
      </c>
      <c r="AU221" s="69" t="str">
        <f>VLOOKUP(UNINASSAU[[#This Row],[CURSO]],'[1]POS_EAD_0112 a 3101_CAMP. REG)'!$F$690:$G$915,2,FALSE)</f>
        <v>Humanas</v>
      </c>
      <c r="AV221" s="69">
        <f>VLOOKUP(UNINASSAU[[#This Row],[CURSO]],'[1]POS_EAD_0112 a 3101_CAMP. REG)'!$F$690:$H$915,3,FALSE)</f>
        <v>6</v>
      </c>
      <c r="AW221" s="69">
        <f>VLOOKUP(UNINASSAU[[#This Row],[CURSO]],'[1]POS_EAD_0112 a 3101_CAMP. REG)'!$F$690:$I$915,4,FALSE)</f>
        <v>13</v>
      </c>
      <c r="AX221" s="73">
        <f>VLOOKUP(UNINASSAU[[#This Row],[CURSO]],'[1]POS_EAD_0112 a 3101_CAMP. REG)'!$F$690:$J$915,5,FALSE)</f>
        <v>269.33202599999998</v>
      </c>
      <c r="AY221" s="72">
        <f>VLOOKUP(UNINASSAU[[#This Row],[CURSO]],'[1]POS_EAD_0112 a 3101_CAMP. REG)'!$F$690:$L$915,7,FALSE)</f>
        <v>0.45</v>
      </c>
      <c r="AZ221" s="73">
        <f>VLOOKUP(UNINASSAU[[#This Row],[CURSO]],'[1]POS_EAD_0112 a 3101_CAMP. REG)'!$F$690:$N$915,8,FALSE)</f>
        <v>133.32</v>
      </c>
      <c r="BA221" s="72">
        <f>VLOOKUP(UNINASSAU[[#This Row],[CURSO]],'[1]POS_EAD_0112 a 3101_CAMP. REG)'!$F$690:$P$915,11,FALSE)</f>
        <v>0.5</v>
      </c>
      <c r="BB221" s="73">
        <f>VLOOKUP(UNINASSAU[[#This Row],[CURSO]],'[1]POS_EAD_0112 a 3101_CAMP. REG)'!$F$690:$Q$915,12,FALSE)</f>
        <v>121.2</v>
      </c>
      <c r="BD221" s="104">
        <v>218</v>
      </c>
      <c r="BE221" s="121" t="s">
        <v>85</v>
      </c>
      <c r="BF221" s="69" t="s">
        <v>19</v>
      </c>
    </row>
    <row r="222" spans="12:58" x14ac:dyDescent="0.25">
      <c r="L222" s="121" t="s">
        <v>87</v>
      </c>
      <c r="M222" s="69" t="s">
        <v>19</v>
      </c>
      <c r="N222" s="69" t="str">
        <f>VLOOKUP($L$4,'[1]POS_EAD_0112 a 3101_CAMP. REG)'!$F$5:$G$231,2,FALSE)</f>
        <v>Humanas</v>
      </c>
      <c r="O222" s="69">
        <f>VLOOKUP(L222,'[1]POS_EAD_0112 a 3101_CAMP. REG)'!$F$5:$H$231,3,FALSE)</f>
        <v>6</v>
      </c>
      <c r="P222" s="68">
        <f>VLOOKUP(L222,'[1]POS_EAD_0112 a 3101_CAMP. REG)'!$F$5:$I$231,4,FALSE)</f>
        <v>13</v>
      </c>
      <c r="Q222" s="73">
        <f>VLOOKUP(L222,'[1]POS_EAD_0112 a 3101_CAMP. REG)'!$F$5:$J$231,5,FALSE)</f>
        <v>405.70905000000005</v>
      </c>
      <c r="R222" s="124">
        <f>VLOOKUP(L222,'[1]POS_EAD_0112 a 3101_CAMP. REG)'!$F$5:$L$231,7,FALSE)</f>
        <v>0.45</v>
      </c>
      <c r="S222" s="73">
        <f>VLOOKUP(L222,'[1]POS_EAD_0112 a 3101_CAMP. REG)'!$F$5:$M$231,8,FALSE)</f>
        <v>200.83</v>
      </c>
      <c r="T222" s="124">
        <f>VLOOKUP(L222,'[1]POS_EAD_0112 a 3101_CAMP. REG)'!$F$5:$P$231,11,FALSE)</f>
        <v>0.5</v>
      </c>
      <c r="U222" s="73">
        <f>VLOOKUP(L222,'[1]POS_EAD_0112 a 3101_CAMP. REG)'!$F$5:$Q$231,12,FALSE)</f>
        <v>182.57</v>
      </c>
      <c r="W222" s="121" t="s">
        <v>87</v>
      </c>
      <c r="X222" s="69" t="s">
        <v>19</v>
      </c>
      <c r="Y222" s="69" t="str">
        <f>VLOOKUP(W222,'[1]POS_EAD_0112 a 3101_CAMP. REG)'!$F$231:$G$461,2,FALSE)</f>
        <v>Saúde</v>
      </c>
      <c r="Z222" s="68">
        <f>VLOOKUP(W222,'[1]POS_EAD_0112 a 3101_CAMP. REG)'!$F$231:$H$461,3,FALSE)</f>
        <v>6</v>
      </c>
      <c r="AA222" s="68">
        <f>VLOOKUP(W222,'[1]POS_EAD_0112 a 3101_CAMP. REG)'!$F$231:$I$461,4,FALSE)</f>
        <v>13</v>
      </c>
      <c r="AB222" s="73">
        <f>VLOOKUP(W222,'[1]POS_EAD_0112 a 3101_CAMP. REG)'!$F$231:$J$461,5,FALSE)</f>
        <v>439.79280900000003</v>
      </c>
      <c r="AC222" s="72">
        <f>VLOOKUP(W222,'[1]POS_EAD_0112 a 3101_CAMP. REG)'!$F$231:$L$461,7,FALSE)</f>
        <v>0.45</v>
      </c>
      <c r="AD222" s="73">
        <f>VLOOKUP(W222,'[1]POS_EAD_0112 a 3101_CAMP. REG)'!$F$231:$M$461,8,FALSE)</f>
        <v>217.7</v>
      </c>
      <c r="AE222" s="72">
        <f>VLOOKUP(W222,'[1]POS_EAD_0112 a 3101_CAMP. REG)'!$F$231:$P$461,11,FALSE)</f>
        <v>0.5</v>
      </c>
      <c r="AF222" s="73">
        <f>VLOOKUP(W222,'[1]POS_EAD_0112 a 3101_CAMP. REG)'!$F$231:$Q$461,12,FALSE)</f>
        <v>197.91</v>
      </c>
      <c r="AH222" s="121" t="s">
        <v>87</v>
      </c>
      <c r="AI222" s="69" t="s">
        <v>19</v>
      </c>
      <c r="AJ222" s="68" t="str">
        <f>VLOOKUP(UNG[[#This Row],[CURSO]],'[1]POS_EAD_0112 a 3101_CAMP. REG)'!$F$463:$G$688,2,FALSE)</f>
        <v>Saúde</v>
      </c>
      <c r="AK222" s="68">
        <f>VLOOKUP(UNG[[#This Row],[CURSO]],'[1]POS_EAD_0112 a 3101_CAMP. REG)'!$F$463:$H$688,3,FALSE)</f>
        <v>6</v>
      </c>
      <c r="AL222" s="68">
        <f>VLOOKUP(UNG[[#This Row],[CURSO]],'[1]POS_EAD_0112 a 3101_CAMP. REG)'!$F$463:$I$688,4,FALSE)</f>
        <v>13</v>
      </c>
      <c r="AM222" s="71">
        <f>VLOOKUP(UNG[[#This Row],[CURSO]],'[1]POS_EAD_0112 a 3101_CAMP. REG)'!$F$463:$J$688,5,FALSE)</f>
        <v>405.70905000000005</v>
      </c>
      <c r="AN222" s="124">
        <f>VLOOKUP(UNG[[#This Row],[CURSO]],'[1]POS_EAD_0112 a 3101_CAMP. REG)'!$F$463:$L$688,7,FALSE)</f>
        <v>0.45</v>
      </c>
      <c r="AO222" s="71">
        <f>VLOOKUP(UNG[[#This Row],[CURSO]],'[1]POS_EAD_0112 a 3101_CAMP. REG)'!$F$463:$M$688,8,FALSE)</f>
        <v>200.83</v>
      </c>
      <c r="AP222" s="124">
        <f>VLOOKUP(UNG[[#This Row],[CURSO]],'[1]POS_EAD_0112 a 3101_CAMP. REG)'!$F$463:$P$688,11,FALSE)</f>
        <v>0.5</v>
      </c>
      <c r="AQ222" s="71">
        <f>VLOOKUP(UNG[[#This Row],[CURSO]],'[1]POS_EAD_0112 a 3101_CAMP. REG)'!$F$463:$Q$688,12,FALSE)</f>
        <v>182.57</v>
      </c>
      <c r="AS222" s="121" t="s">
        <v>87</v>
      </c>
      <c r="AT222" s="69" t="s">
        <v>19</v>
      </c>
      <c r="AU222" s="69" t="str">
        <f>VLOOKUP(UNINASSAU[[#This Row],[CURSO]],'[1]POS_EAD_0112 a 3101_CAMP. REG)'!$F$690:$G$915,2,FALSE)</f>
        <v>Saúde</v>
      </c>
      <c r="AV222" s="69">
        <f>VLOOKUP(UNINASSAU[[#This Row],[CURSO]],'[1]POS_EAD_0112 a 3101_CAMP. REG)'!$F$690:$H$915,3,FALSE)</f>
        <v>6</v>
      </c>
      <c r="AW222" s="69">
        <f>VLOOKUP(UNINASSAU[[#This Row],[CURSO]],'[1]POS_EAD_0112 a 3101_CAMP. REG)'!$F$690:$I$915,4,FALSE)</f>
        <v>13</v>
      </c>
      <c r="AX222" s="73">
        <f>VLOOKUP(UNINASSAU[[#This Row],[CURSO]],'[1]POS_EAD_0112 a 3101_CAMP. REG)'!$F$690:$J$915,5,FALSE)</f>
        <v>405.70905000000005</v>
      </c>
      <c r="AY222" s="72">
        <f>VLOOKUP(UNINASSAU[[#This Row],[CURSO]],'[1]POS_EAD_0112 a 3101_CAMP. REG)'!$F$690:$L$915,7,FALSE)</f>
        <v>0.45</v>
      </c>
      <c r="AZ222" s="73">
        <f>VLOOKUP(UNINASSAU[[#This Row],[CURSO]],'[1]POS_EAD_0112 a 3101_CAMP. REG)'!$F$690:$N$915,8,FALSE)</f>
        <v>200.83</v>
      </c>
      <c r="BA222" s="72">
        <f>VLOOKUP(UNINASSAU[[#This Row],[CURSO]],'[1]POS_EAD_0112 a 3101_CAMP. REG)'!$F$690:$P$915,11,FALSE)</f>
        <v>0.5</v>
      </c>
      <c r="BB222" s="73">
        <f>VLOOKUP(UNINASSAU[[#This Row],[CURSO]],'[1]POS_EAD_0112 a 3101_CAMP. REG)'!$F$690:$Q$915,12,FALSE)</f>
        <v>182.57</v>
      </c>
      <c r="BD222" s="104">
        <v>219</v>
      </c>
      <c r="BE222" s="121" t="s">
        <v>87</v>
      </c>
      <c r="BF222" s="69" t="s">
        <v>19</v>
      </c>
    </row>
    <row r="223" spans="12:58" x14ac:dyDescent="0.25">
      <c r="L223" s="121" t="s">
        <v>125</v>
      </c>
      <c r="M223" s="69" t="s">
        <v>19</v>
      </c>
      <c r="N223" s="69" t="str">
        <f>VLOOKUP($L$4,'[1]POS_EAD_0112 a 3101_CAMP. REG)'!$F$5:$G$231,2,FALSE)</f>
        <v>Humanas</v>
      </c>
      <c r="O223" s="69">
        <f>VLOOKUP(L223,'[1]POS_EAD_0112 a 3101_CAMP. REG)'!$F$5:$H$231,3,FALSE)</f>
        <v>6</v>
      </c>
      <c r="P223" s="68">
        <f>VLOOKUP(L223,'[1]POS_EAD_0112 a 3101_CAMP. REG)'!$F$5:$I$231,4,FALSE)</f>
        <v>13</v>
      </c>
      <c r="Q223" s="73">
        <f>VLOOKUP(L223,'[1]POS_EAD_0112 a 3101_CAMP. REG)'!$F$5:$J$231,5,FALSE)</f>
        <v>269.33202599999998</v>
      </c>
      <c r="R223" s="124">
        <f>VLOOKUP(L223,'[1]POS_EAD_0112 a 3101_CAMP. REG)'!$F$5:$L$231,7,FALSE)</f>
        <v>0.45</v>
      </c>
      <c r="S223" s="73">
        <f>VLOOKUP(L223,'[1]POS_EAD_0112 a 3101_CAMP. REG)'!$F$5:$M$231,8,FALSE)</f>
        <v>133.32</v>
      </c>
      <c r="T223" s="124">
        <f>VLOOKUP(L223,'[1]POS_EAD_0112 a 3101_CAMP. REG)'!$F$5:$P$231,11,FALSE)</f>
        <v>0.5</v>
      </c>
      <c r="U223" s="73">
        <f>VLOOKUP(L223,'[1]POS_EAD_0112 a 3101_CAMP. REG)'!$F$5:$Q$231,12,FALSE)</f>
        <v>121.2</v>
      </c>
      <c r="W223" s="121" t="s">
        <v>125</v>
      </c>
      <c r="X223" s="69" t="s">
        <v>19</v>
      </c>
      <c r="Y223" s="69" t="str">
        <f>VLOOKUP(W223,'[1]POS_EAD_0112 a 3101_CAMP. REG)'!$F$231:$G$461,2,FALSE)</f>
        <v>Exatas</v>
      </c>
      <c r="Z223" s="68">
        <f>VLOOKUP(W223,'[1]POS_EAD_0112 a 3101_CAMP. REG)'!$F$231:$H$461,3,FALSE)</f>
        <v>6</v>
      </c>
      <c r="AA223" s="68">
        <f>VLOOKUP(W223,'[1]POS_EAD_0112 a 3101_CAMP. REG)'!$F$231:$I$461,4,FALSE)</f>
        <v>13</v>
      </c>
      <c r="AB223" s="73">
        <f>VLOOKUP(W223,'[1]POS_EAD_0112 a 3101_CAMP. REG)'!$F$231:$J$461,5,FALSE)</f>
        <v>303.42628200000001</v>
      </c>
      <c r="AC223" s="72">
        <f>VLOOKUP(W223,'[1]POS_EAD_0112 a 3101_CAMP. REG)'!$F$231:$L$461,7,FALSE)</f>
        <v>0.45</v>
      </c>
      <c r="AD223" s="73">
        <f>VLOOKUP(W223,'[1]POS_EAD_0112 a 3101_CAMP. REG)'!$F$231:$M$461,8,FALSE)</f>
        <v>150.19999999999999</v>
      </c>
      <c r="AE223" s="72">
        <f>VLOOKUP(W223,'[1]POS_EAD_0112 a 3101_CAMP. REG)'!$F$231:$P$461,11,FALSE)</f>
        <v>0.5</v>
      </c>
      <c r="AF223" s="73">
        <f>VLOOKUP(W223,'[1]POS_EAD_0112 a 3101_CAMP. REG)'!$F$231:$Q$461,12,FALSE)</f>
        <v>136.54</v>
      </c>
      <c r="AH223" s="121" t="s">
        <v>125</v>
      </c>
      <c r="AI223" s="69" t="s">
        <v>19</v>
      </c>
      <c r="AJ223" s="68" t="str">
        <f>VLOOKUP(UNG[[#This Row],[CURSO]],'[1]POS_EAD_0112 a 3101_CAMP. REG)'!$F$463:$G$688,2,FALSE)</f>
        <v>Exatas</v>
      </c>
      <c r="AK223" s="68">
        <f>VLOOKUP(UNG[[#This Row],[CURSO]],'[1]POS_EAD_0112 a 3101_CAMP. REG)'!$F$463:$H$688,3,FALSE)</f>
        <v>6</v>
      </c>
      <c r="AL223" s="68">
        <f>VLOOKUP(UNG[[#This Row],[CURSO]],'[1]POS_EAD_0112 a 3101_CAMP. REG)'!$F$463:$I$688,4,FALSE)</f>
        <v>13</v>
      </c>
      <c r="AM223" s="71">
        <f>VLOOKUP(UNG[[#This Row],[CURSO]],'[1]POS_EAD_0112 a 3101_CAMP. REG)'!$F$463:$J$688,5,FALSE)</f>
        <v>269.33202599999998</v>
      </c>
      <c r="AN223" s="124">
        <f>VLOOKUP(UNG[[#This Row],[CURSO]],'[1]POS_EAD_0112 a 3101_CAMP. REG)'!$F$463:$L$688,7,FALSE)</f>
        <v>0.45</v>
      </c>
      <c r="AO223" s="71">
        <f>VLOOKUP(UNG[[#This Row],[CURSO]],'[1]POS_EAD_0112 a 3101_CAMP. REG)'!$F$463:$M$688,8,FALSE)</f>
        <v>133.32</v>
      </c>
      <c r="AP223" s="124">
        <f>VLOOKUP(UNG[[#This Row],[CURSO]],'[1]POS_EAD_0112 a 3101_CAMP. REG)'!$F$463:$P$688,11,FALSE)</f>
        <v>0.5</v>
      </c>
      <c r="AQ223" s="71">
        <f>VLOOKUP(UNG[[#This Row],[CURSO]],'[1]POS_EAD_0112 a 3101_CAMP. REG)'!$F$463:$Q$688,12,FALSE)</f>
        <v>121.2</v>
      </c>
      <c r="AS223" s="121" t="s">
        <v>125</v>
      </c>
      <c r="AT223" s="69" t="s">
        <v>19</v>
      </c>
      <c r="AU223" s="69" t="str">
        <f>VLOOKUP(UNINASSAU[[#This Row],[CURSO]],'[1]POS_EAD_0112 a 3101_CAMP. REG)'!$F$690:$G$915,2,FALSE)</f>
        <v>Exatas</v>
      </c>
      <c r="AV223" s="69">
        <f>VLOOKUP(UNINASSAU[[#This Row],[CURSO]],'[1]POS_EAD_0112 a 3101_CAMP. REG)'!$F$690:$H$915,3,FALSE)</f>
        <v>6</v>
      </c>
      <c r="AW223" s="69">
        <f>VLOOKUP(UNINASSAU[[#This Row],[CURSO]],'[1]POS_EAD_0112 a 3101_CAMP. REG)'!$F$690:$I$915,4,FALSE)</f>
        <v>13</v>
      </c>
      <c r="AX223" s="73">
        <f>VLOOKUP(UNINASSAU[[#This Row],[CURSO]],'[1]POS_EAD_0112 a 3101_CAMP. REG)'!$F$690:$J$915,5,FALSE)</f>
        <v>269.33202599999998</v>
      </c>
      <c r="AY223" s="72">
        <f>VLOOKUP(UNINASSAU[[#This Row],[CURSO]],'[1]POS_EAD_0112 a 3101_CAMP. REG)'!$F$690:$L$915,7,FALSE)</f>
        <v>0.45</v>
      </c>
      <c r="AZ223" s="73">
        <f>VLOOKUP(UNINASSAU[[#This Row],[CURSO]],'[1]POS_EAD_0112 a 3101_CAMP. REG)'!$F$690:$N$915,8,FALSE)</f>
        <v>133.32</v>
      </c>
      <c r="BA223" s="72">
        <f>VLOOKUP(UNINASSAU[[#This Row],[CURSO]],'[1]POS_EAD_0112 a 3101_CAMP. REG)'!$F$690:$P$915,11,FALSE)</f>
        <v>0.5</v>
      </c>
      <c r="BB223" s="73">
        <f>VLOOKUP(UNINASSAU[[#This Row],[CURSO]],'[1]POS_EAD_0112 a 3101_CAMP. REG)'!$F$690:$Q$915,12,FALSE)</f>
        <v>121.2</v>
      </c>
      <c r="BD223" s="104">
        <v>220</v>
      </c>
      <c r="BE223" s="121" t="s">
        <v>125</v>
      </c>
      <c r="BF223" s="69" t="s">
        <v>19</v>
      </c>
    </row>
    <row r="224" spans="12:58" x14ac:dyDescent="0.25">
      <c r="L224" s="121" t="s">
        <v>121</v>
      </c>
      <c r="M224" s="69" t="s">
        <v>19</v>
      </c>
      <c r="N224" s="69" t="str">
        <f>VLOOKUP($L$4,'[1]POS_EAD_0112 a 3101_CAMP. REG)'!$F$5:$G$231,2,FALSE)</f>
        <v>Humanas</v>
      </c>
      <c r="O224" s="69">
        <f>VLOOKUP(L224,'[1]POS_EAD_0112 a 3101_CAMP. REG)'!$F$5:$H$231,3,FALSE)</f>
        <v>12</v>
      </c>
      <c r="P224" s="68">
        <f>VLOOKUP(L224,'[1]POS_EAD_0112 a 3101_CAMP. REG)'!$F$5:$I$231,4,FALSE)</f>
        <v>19</v>
      </c>
      <c r="Q224" s="73">
        <f>VLOOKUP(L224,'[1]POS_EAD_0112 a 3101_CAMP. REG)'!$F$5:$J$231,5,FALSE)</f>
        <v>184.28091221052631</v>
      </c>
      <c r="R224" s="124">
        <f>VLOOKUP(L224,'[1]POS_EAD_0112 a 3101_CAMP. REG)'!$F$5:$L$231,7,FALSE)</f>
        <v>0.45</v>
      </c>
      <c r="S224" s="73">
        <f>VLOOKUP(L224,'[1]POS_EAD_0112 a 3101_CAMP. REG)'!$F$5:$M$231,8,FALSE)</f>
        <v>91.22</v>
      </c>
      <c r="T224" s="124">
        <f>VLOOKUP(L224,'[1]POS_EAD_0112 a 3101_CAMP. REG)'!$F$5:$P$231,11,FALSE)</f>
        <v>0.5</v>
      </c>
      <c r="U224" s="73">
        <f>VLOOKUP(L224,'[1]POS_EAD_0112 a 3101_CAMP. REG)'!$F$5:$Q$231,12,FALSE)</f>
        <v>82.93</v>
      </c>
      <c r="W224" s="121" t="s">
        <v>121</v>
      </c>
      <c r="X224" s="69" t="s">
        <v>19</v>
      </c>
      <c r="Y224" s="69" t="str">
        <f>VLOOKUP(W224,'[1]POS_EAD_0112 a 3101_CAMP. REG)'!$F$231:$G$461,2,FALSE)</f>
        <v>Humanas</v>
      </c>
      <c r="Z224" s="68">
        <f>VLOOKUP(W224,'[1]POS_EAD_0112 a 3101_CAMP. REG)'!$F$231:$H$461,3,FALSE)</f>
        <v>12</v>
      </c>
      <c r="AA224" s="68">
        <f>VLOOKUP(W224,'[1]POS_EAD_0112 a 3101_CAMP. REG)'!$F$231:$I$461,4,FALSE)</f>
        <v>19</v>
      </c>
      <c r="AB224" s="73">
        <f>VLOOKUP(W224,'[1]POS_EAD_0112 a 3101_CAMP. REG)'!$F$231:$J$461,5,FALSE)</f>
        <v>207.609666</v>
      </c>
      <c r="AC224" s="72">
        <f>VLOOKUP(W224,'[1]POS_EAD_0112 a 3101_CAMP. REG)'!$F$231:$L$461,7,FALSE)</f>
        <v>0.45</v>
      </c>
      <c r="AD224" s="73">
        <f>VLOOKUP(W224,'[1]POS_EAD_0112 a 3101_CAMP. REG)'!$F$231:$M$461,8,FALSE)</f>
        <v>102.77</v>
      </c>
      <c r="AE224" s="72">
        <f>VLOOKUP(W224,'[1]POS_EAD_0112 a 3101_CAMP. REG)'!$F$231:$P$461,11,FALSE)</f>
        <v>0.5</v>
      </c>
      <c r="AF224" s="73">
        <f>VLOOKUP(W224,'[1]POS_EAD_0112 a 3101_CAMP. REG)'!$F$231:$Q$461,12,FALSE)</f>
        <v>93.42</v>
      </c>
      <c r="AH224" s="121" t="s">
        <v>121</v>
      </c>
      <c r="AI224" s="69" t="s">
        <v>19</v>
      </c>
      <c r="AJ224" s="68" t="str">
        <f>VLOOKUP(UNG[[#This Row],[CURSO]],'[1]POS_EAD_0112 a 3101_CAMP. REG)'!$F$463:$G$688,2,FALSE)</f>
        <v>Humanas</v>
      </c>
      <c r="AK224" s="68">
        <f>VLOOKUP(UNG[[#This Row],[CURSO]],'[1]POS_EAD_0112 a 3101_CAMP. REG)'!$F$463:$H$688,3,FALSE)</f>
        <v>12</v>
      </c>
      <c r="AL224" s="68">
        <f>VLOOKUP(UNG[[#This Row],[CURSO]],'[1]POS_EAD_0112 a 3101_CAMP. REG)'!$F$463:$I$688,4,FALSE)</f>
        <v>19</v>
      </c>
      <c r="AM224" s="71">
        <f>VLOOKUP(UNG[[#This Row],[CURSO]],'[1]POS_EAD_0112 a 3101_CAMP. REG)'!$F$463:$J$688,5,FALSE)</f>
        <v>184.28091221052631</v>
      </c>
      <c r="AN224" s="124">
        <f>VLOOKUP(UNG[[#This Row],[CURSO]],'[1]POS_EAD_0112 a 3101_CAMP. REG)'!$F$463:$L$688,7,FALSE)</f>
        <v>0.45</v>
      </c>
      <c r="AO224" s="71">
        <f>VLOOKUP(UNG[[#This Row],[CURSO]],'[1]POS_EAD_0112 a 3101_CAMP. REG)'!$F$463:$M$688,8,FALSE)</f>
        <v>91.22</v>
      </c>
      <c r="AP224" s="124">
        <f>VLOOKUP(UNG[[#This Row],[CURSO]],'[1]POS_EAD_0112 a 3101_CAMP. REG)'!$F$463:$P$688,11,FALSE)</f>
        <v>0.5</v>
      </c>
      <c r="AQ224" s="71">
        <f>VLOOKUP(UNG[[#This Row],[CURSO]],'[1]POS_EAD_0112 a 3101_CAMP. REG)'!$F$463:$Q$688,12,FALSE)</f>
        <v>82.93</v>
      </c>
      <c r="AS224" s="121" t="s">
        <v>121</v>
      </c>
      <c r="AT224" s="69" t="s">
        <v>19</v>
      </c>
      <c r="AU224" s="69" t="str">
        <f>VLOOKUP(UNINASSAU[[#This Row],[CURSO]],'[1]POS_EAD_0112 a 3101_CAMP. REG)'!$F$690:$G$915,2,FALSE)</f>
        <v>Humanas</v>
      </c>
      <c r="AV224" s="69">
        <f>VLOOKUP(UNINASSAU[[#This Row],[CURSO]],'[1]POS_EAD_0112 a 3101_CAMP. REG)'!$F$690:$H$915,3,FALSE)</f>
        <v>12</v>
      </c>
      <c r="AW224" s="69">
        <f>VLOOKUP(UNINASSAU[[#This Row],[CURSO]],'[1]POS_EAD_0112 a 3101_CAMP. REG)'!$F$690:$I$915,4,FALSE)</f>
        <v>19</v>
      </c>
      <c r="AX224" s="73">
        <f>VLOOKUP(UNINASSAU[[#This Row],[CURSO]],'[1]POS_EAD_0112 a 3101_CAMP. REG)'!$F$690:$J$915,5,FALSE)</f>
        <v>184.28091221052631</v>
      </c>
      <c r="AY224" s="72">
        <f>VLOOKUP(UNINASSAU[[#This Row],[CURSO]],'[1]POS_EAD_0112 a 3101_CAMP. REG)'!$F$690:$L$915,7,FALSE)</f>
        <v>0.45</v>
      </c>
      <c r="AZ224" s="73">
        <f>VLOOKUP(UNINASSAU[[#This Row],[CURSO]],'[1]POS_EAD_0112 a 3101_CAMP. REG)'!$F$690:$N$915,8,FALSE)</f>
        <v>91.22</v>
      </c>
      <c r="BA224" s="72">
        <f>VLOOKUP(UNINASSAU[[#This Row],[CURSO]],'[1]POS_EAD_0112 a 3101_CAMP. REG)'!$F$690:$P$915,11,FALSE)</f>
        <v>0.5</v>
      </c>
      <c r="BB224" s="73">
        <f>VLOOKUP(UNINASSAU[[#This Row],[CURSO]],'[1]POS_EAD_0112 a 3101_CAMP. REG)'!$F$690:$Q$915,12,FALSE)</f>
        <v>82.93</v>
      </c>
      <c r="BD224" s="104">
        <v>221</v>
      </c>
      <c r="BE224" s="121" t="s">
        <v>121</v>
      </c>
      <c r="BF224" s="69" t="s">
        <v>19</v>
      </c>
    </row>
    <row r="225" spans="12:58" x14ac:dyDescent="0.25">
      <c r="L225" s="121" t="s">
        <v>133</v>
      </c>
      <c r="M225" s="69" t="s">
        <v>19</v>
      </c>
      <c r="N225" s="69" t="str">
        <f>VLOOKUP($L$4,'[1]POS_EAD_0112 a 3101_CAMP. REG)'!$F$5:$G$231,2,FALSE)</f>
        <v>Humanas</v>
      </c>
      <c r="O225" s="69">
        <f>VLOOKUP(L225,'[1]POS_EAD_0112 a 3101_CAMP. REG)'!$F$5:$H$231,3,FALSE)</f>
        <v>6</v>
      </c>
      <c r="P225" s="68">
        <f>VLOOKUP(L225,'[1]POS_EAD_0112 a 3101_CAMP. REG)'!$F$5:$I$231,4,FALSE)</f>
        <v>13</v>
      </c>
      <c r="Q225" s="73">
        <f>VLOOKUP(L225,'[1]POS_EAD_0112 a 3101_CAMP. REG)'!$F$5:$J$231,5,FALSE)</f>
        <v>269.33202599999998</v>
      </c>
      <c r="R225" s="124">
        <f>VLOOKUP(L225,'[1]POS_EAD_0112 a 3101_CAMP. REG)'!$F$5:$L$231,7,FALSE)</f>
        <v>0.45</v>
      </c>
      <c r="S225" s="73">
        <f>VLOOKUP(L225,'[1]POS_EAD_0112 a 3101_CAMP. REG)'!$F$5:$M$231,8,FALSE)</f>
        <v>133.32</v>
      </c>
      <c r="T225" s="124">
        <f>VLOOKUP(L225,'[1]POS_EAD_0112 a 3101_CAMP. REG)'!$F$5:$P$231,11,FALSE)</f>
        <v>0.5</v>
      </c>
      <c r="U225" s="73">
        <f>VLOOKUP(L225,'[1]POS_EAD_0112 a 3101_CAMP. REG)'!$F$5:$Q$231,12,FALSE)</f>
        <v>121.2</v>
      </c>
      <c r="W225" s="121" t="s">
        <v>133</v>
      </c>
      <c r="X225" s="69" t="s">
        <v>19</v>
      </c>
      <c r="Y225" s="69" t="str">
        <f>VLOOKUP(W225,'[1]POS_EAD_0112 a 3101_CAMP. REG)'!$F$231:$G$461,2,FALSE)</f>
        <v>Humanas</v>
      </c>
      <c r="Z225" s="68">
        <f>VLOOKUP(W225,'[1]POS_EAD_0112 a 3101_CAMP. REG)'!$F$231:$H$461,3,FALSE)</f>
        <v>6</v>
      </c>
      <c r="AA225" s="68">
        <f>VLOOKUP(W225,'[1]POS_EAD_0112 a 3101_CAMP. REG)'!$F$231:$I$461,4,FALSE)</f>
        <v>13</v>
      </c>
      <c r="AB225" s="73">
        <f>VLOOKUP(W225,'[1]POS_EAD_0112 a 3101_CAMP. REG)'!$F$231:$J$461,5,FALSE)</f>
        <v>303.42628200000001</v>
      </c>
      <c r="AC225" s="72">
        <f>VLOOKUP(W225,'[1]POS_EAD_0112 a 3101_CAMP. REG)'!$F$231:$L$461,7,FALSE)</f>
        <v>0.45</v>
      </c>
      <c r="AD225" s="73">
        <f>VLOOKUP(W225,'[1]POS_EAD_0112 a 3101_CAMP. REG)'!$F$231:$M$461,8,FALSE)</f>
        <v>150.19999999999999</v>
      </c>
      <c r="AE225" s="72">
        <f>VLOOKUP(W225,'[1]POS_EAD_0112 a 3101_CAMP. REG)'!$F$231:$P$461,11,FALSE)</f>
        <v>0.5</v>
      </c>
      <c r="AF225" s="73">
        <f>VLOOKUP(W225,'[1]POS_EAD_0112 a 3101_CAMP. REG)'!$F$231:$Q$461,12,FALSE)</f>
        <v>136.54</v>
      </c>
      <c r="AH225" s="121" t="s">
        <v>133</v>
      </c>
      <c r="AI225" s="69" t="s">
        <v>19</v>
      </c>
      <c r="AJ225" s="68" t="str">
        <f>VLOOKUP(UNG[[#This Row],[CURSO]],'[1]POS_EAD_0112 a 3101_CAMP. REG)'!$F$463:$G$688,2,FALSE)</f>
        <v>Humanas</v>
      </c>
      <c r="AK225" s="68">
        <f>VLOOKUP(UNG[[#This Row],[CURSO]],'[1]POS_EAD_0112 a 3101_CAMP. REG)'!$F$463:$H$688,3,FALSE)</f>
        <v>6</v>
      </c>
      <c r="AL225" s="68">
        <f>VLOOKUP(UNG[[#This Row],[CURSO]],'[1]POS_EAD_0112 a 3101_CAMP. REG)'!$F$463:$I$688,4,FALSE)</f>
        <v>13</v>
      </c>
      <c r="AM225" s="71">
        <f>VLOOKUP(UNG[[#This Row],[CURSO]],'[1]POS_EAD_0112 a 3101_CAMP. REG)'!$F$463:$J$688,5,FALSE)</f>
        <v>269.33202599999998</v>
      </c>
      <c r="AN225" s="124">
        <f>VLOOKUP(UNG[[#This Row],[CURSO]],'[1]POS_EAD_0112 a 3101_CAMP. REG)'!$F$463:$L$688,7,FALSE)</f>
        <v>0.45</v>
      </c>
      <c r="AO225" s="71">
        <f>VLOOKUP(UNG[[#This Row],[CURSO]],'[1]POS_EAD_0112 a 3101_CAMP. REG)'!$F$463:$M$688,8,FALSE)</f>
        <v>133.32</v>
      </c>
      <c r="AP225" s="124">
        <f>VLOOKUP(UNG[[#This Row],[CURSO]],'[1]POS_EAD_0112 a 3101_CAMP. REG)'!$F$463:$P$688,11,FALSE)</f>
        <v>0.5</v>
      </c>
      <c r="AQ225" s="71">
        <f>VLOOKUP(UNG[[#This Row],[CURSO]],'[1]POS_EAD_0112 a 3101_CAMP. REG)'!$F$463:$Q$688,12,FALSE)</f>
        <v>121.2</v>
      </c>
      <c r="AS225" s="121" t="s">
        <v>133</v>
      </c>
      <c r="AT225" s="69" t="s">
        <v>19</v>
      </c>
      <c r="AU225" s="69" t="str">
        <f>VLOOKUP(UNINASSAU[[#This Row],[CURSO]],'[1]POS_EAD_0112 a 3101_CAMP. REG)'!$F$690:$G$915,2,FALSE)</f>
        <v>Humanas</v>
      </c>
      <c r="AV225" s="69">
        <f>VLOOKUP(UNINASSAU[[#This Row],[CURSO]],'[1]POS_EAD_0112 a 3101_CAMP. REG)'!$F$690:$H$915,3,FALSE)</f>
        <v>6</v>
      </c>
      <c r="AW225" s="69">
        <f>VLOOKUP(UNINASSAU[[#This Row],[CURSO]],'[1]POS_EAD_0112 a 3101_CAMP. REG)'!$F$690:$I$915,4,FALSE)</f>
        <v>13</v>
      </c>
      <c r="AX225" s="73">
        <f>VLOOKUP(UNINASSAU[[#This Row],[CURSO]],'[1]POS_EAD_0112 a 3101_CAMP. REG)'!$F$690:$J$915,5,FALSE)</f>
        <v>269.33202599999998</v>
      </c>
      <c r="AY225" s="72">
        <f>VLOOKUP(UNINASSAU[[#This Row],[CURSO]],'[1]POS_EAD_0112 a 3101_CAMP. REG)'!$F$690:$L$915,7,FALSE)</f>
        <v>0.45</v>
      </c>
      <c r="AZ225" s="73">
        <f>VLOOKUP(UNINASSAU[[#This Row],[CURSO]],'[1]POS_EAD_0112 a 3101_CAMP. REG)'!$F$690:$N$915,8,FALSE)</f>
        <v>133.32</v>
      </c>
      <c r="BA225" s="72">
        <f>VLOOKUP(UNINASSAU[[#This Row],[CURSO]],'[1]POS_EAD_0112 a 3101_CAMP. REG)'!$F$690:$P$915,11,FALSE)</f>
        <v>0.5</v>
      </c>
      <c r="BB225" s="73">
        <f>VLOOKUP(UNINASSAU[[#This Row],[CURSO]],'[1]POS_EAD_0112 a 3101_CAMP. REG)'!$F$690:$Q$915,12,FALSE)</f>
        <v>121.2</v>
      </c>
      <c r="BD225" s="104">
        <v>222</v>
      </c>
      <c r="BE225" s="121" t="s">
        <v>133</v>
      </c>
      <c r="BF225" s="69" t="s">
        <v>19</v>
      </c>
    </row>
    <row r="226" spans="12:58" ht="15.75" x14ac:dyDescent="0.25">
      <c r="R226" s="72"/>
      <c r="T226" s="72"/>
      <c r="U226" s="73"/>
      <c r="W226" s="107"/>
      <c r="Y226" s="107"/>
      <c r="AE226" s="72"/>
      <c r="AH226" s="100"/>
      <c r="AI226" s="100"/>
      <c r="AJ226" s="125"/>
      <c r="AK226" s="101"/>
      <c r="AL226" s="101"/>
      <c r="AM226" s="102"/>
      <c r="AN226" s="119"/>
      <c r="AO226" s="103"/>
      <c r="AP226" s="120"/>
      <c r="AQ226" s="103"/>
      <c r="AS226" s="107"/>
      <c r="AT226" s="69"/>
      <c r="AU226" s="69"/>
      <c r="AV226" s="68"/>
      <c r="AW226" s="68"/>
      <c r="BE226" s="108"/>
    </row>
    <row r="227" spans="12:58" ht="15.75" x14ac:dyDescent="0.25">
      <c r="R227" s="72"/>
      <c r="T227" s="72"/>
      <c r="U227" s="73"/>
      <c r="W227" s="107"/>
      <c r="Y227" s="107"/>
      <c r="AE227" s="72"/>
      <c r="AH227" s="100"/>
      <c r="AI227" s="100"/>
      <c r="AJ227" s="125"/>
      <c r="AK227" s="101"/>
      <c r="AL227" s="101"/>
      <c r="AM227" s="102"/>
      <c r="AN227" s="119"/>
      <c r="AO227" s="103"/>
      <c r="AP227" s="120"/>
      <c r="AQ227" s="103"/>
      <c r="AS227" s="107"/>
      <c r="AT227" s="69"/>
      <c r="AU227" s="69"/>
      <c r="AV227" s="68"/>
      <c r="AW227" s="68"/>
      <c r="BE227" s="108"/>
    </row>
    <row r="228" spans="12:58" ht="15.75" x14ac:dyDescent="0.25">
      <c r="R228" s="72"/>
      <c r="T228" s="72"/>
      <c r="U228" s="73"/>
      <c r="W228" s="107"/>
      <c r="Y228" s="107"/>
      <c r="AE228" s="72"/>
      <c r="AH228" s="100"/>
      <c r="AI228" s="100"/>
      <c r="AJ228" s="125"/>
      <c r="AK228" s="101"/>
      <c r="AL228" s="101"/>
      <c r="AM228" s="102"/>
      <c r="AN228" s="119"/>
      <c r="AO228" s="103"/>
      <c r="AP228" s="120"/>
      <c r="AQ228" s="103"/>
      <c r="AS228" s="107"/>
      <c r="AT228" s="69"/>
      <c r="AU228" s="69"/>
      <c r="AV228" s="68"/>
      <c r="AW228" s="68"/>
      <c r="BE228" s="108"/>
    </row>
    <row r="229" spans="12:58" ht="15.75" x14ac:dyDescent="0.25">
      <c r="R229" s="72"/>
      <c r="T229" s="72"/>
      <c r="U229" s="73"/>
      <c r="W229" s="107"/>
      <c r="Y229" s="107"/>
      <c r="AE229" s="72"/>
      <c r="AH229" s="100"/>
      <c r="AI229" s="100"/>
      <c r="AJ229" s="125"/>
      <c r="AK229" s="101"/>
      <c r="AL229" s="101"/>
      <c r="AM229" s="102"/>
      <c r="AN229" s="119"/>
      <c r="AO229" s="103"/>
      <c r="AP229" s="120"/>
      <c r="AQ229" s="103"/>
      <c r="AS229" s="107"/>
      <c r="AT229" s="69"/>
      <c r="AU229" s="69"/>
      <c r="AV229" s="68"/>
      <c r="AW229" s="68"/>
      <c r="BE229" s="108"/>
    </row>
    <row r="230" spans="12:58" ht="15.75" x14ac:dyDescent="0.25">
      <c r="L230" s="107"/>
      <c r="R230" s="72"/>
      <c r="T230" s="72"/>
      <c r="U230" s="73"/>
      <c r="W230" s="107"/>
      <c r="Y230" s="107"/>
      <c r="AE230" s="72"/>
      <c r="AH230" s="107"/>
      <c r="AI230" s="100"/>
      <c r="AJ230" s="68"/>
      <c r="AK230" s="70"/>
      <c r="AL230" s="70"/>
      <c r="AS230" s="107"/>
      <c r="AT230" s="69"/>
      <c r="AU230" s="69"/>
      <c r="AV230" s="68"/>
      <c r="AW230" s="68"/>
      <c r="BE230" s="108"/>
    </row>
    <row r="231" spans="12:58" ht="15.75" x14ac:dyDescent="0.25">
      <c r="L231" s="107"/>
      <c r="R231" s="72"/>
      <c r="T231" s="72"/>
      <c r="U231" s="73"/>
      <c r="W231" s="107"/>
      <c r="Y231" s="107"/>
      <c r="AE231" s="72"/>
      <c r="AH231" s="107"/>
      <c r="AI231" s="100"/>
      <c r="AJ231" s="68"/>
      <c r="AK231" s="70"/>
      <c r="AL231" s="70"/>
      <c r="AS231" s="107"/>
      <c r="AT231" s="69"/>
      <c r="AU231" s="69"/>
      <c r="AV231" s="68"/>
      <c r="AW231" s="68"/>
      <c r="BE231" s="108"/>
    </row>
    <row r="232" spans="12:58" ht="15.75" x14ac:dyDescent="0.25">
      <c r="L232" s="107"/>
      <c r="R232" s="72"/>
      <c r="T232" s="72"/>
      <c r="U232" s="73"/>
      <c r="W232" s="107"/>
      <c r="Y232" s="107"/>
      <c r="AE232" s="72"/>
      <c r="AH232" s="107"/>
      <c r="AI232" s="100"/>
      <c r="AJ232" s="68"/>
      <c r="AK232" s="70"/>
      <c r="AL232" s="70"/>
      <c r="AS232" s="107"/>
      <c r="AT232" s="69"/>
      <c r="AU232" s="69"/>
      <c r="AV232" s="68"/>
      <c r="AW232" s="68"/>
      <c r="BE232" s="108"/>
    </row>
    <row r="233" spans="12:58" ht="15.75" x14ac:dyDescent="0.25">
      <c r="L233" s="107"/>
      <c r="R233" s="72"/>
      <c r="T233" s="72"/>
      <c r="U233" s="73"/>
      <c r="W233" s="107"/>
      <c r="Y233" s="107"/>
      <c r="AE233" s="72"/>
      <c r="AH233" s="69"/>
      <c r="AI233" s="69"/>
      <c r="AJ233" s="68"/>
      <c r="AK233" s="70"/>
      <c r="AL233" s="70"/>
      <c r="AT233" s="109"/>
      <c r="BE233" s="110"/>
      <c r="BF233" s="111"/>
    </row>
    <row r="234" spans="12:58" ht="15.75" x14ac:dyDescent="0.25">
      <c r="R234" s="72"/>
      <c r="T234" s="72"/>
      <c r="U234" s="73"/>
      <c r="W234" s="107"/>
      <c r="Y234" s="107"/>
      <c r="Z234" s="75"/>
      <c r="AA234" s="75"/>
      <c r="AB234" s="73"/>
      <c r="AE234" s="72"/>
      <c r="AH234" s="69"/>
      <c r="AI234" s="69"/>
      <c r="AJ234" s="68"/>
      <c r="AK234" s="70"/>
      <c r="AL234" s="70"/>
      <c r="AS234" s="69"/>
      <c r="AT234" s="69"/>
      <c r="AU234" s="69"/>
      <c r="AV234" s="68"/>
      <c r="AW234" s="68"/>
      <c r="BE234" s="108"/>
    </row>
    <row r="235" spans="12:58" ht="15.75" x14ac:dyDescent="0.25">
      <c r="R235" s="72"/>
      <c r="T235" s="72"/>
      <c r="U235" s="73"/>
      <c r="W235" s="107"/>
      <c r="Y235" s="107"/>
      <c r="Z235" s="75"/>
      <c r="AA235" s="75"/>
      <c r="AB235" s="73"/>
      <c r="AE235" s="72"/>
      <c r="AH235" s="69"/>
      <c r="AI235" s="69"/>
      <c r="AJ235" s="68"/>
      <c r="AK235" s="70"/>
      <c r="AL235" s="70"/>
      <c r="AS235" s="69"/>
      <c r="AT235" s="69"/>
      <c r="AU235" s="69"/>
      <c r="AV235" s="68"/>
      <c r="AW235" s="68"/>
      <c r="BE235" s="110"/>
      <c r="BF235" s="111"/>
    </row>
    <row r="236" spans="12:58" ht="15.75" x14ac:dyDescent="0.25">
      <c r="R236" s="72"/>
      <c r="T236" s="72"/>
      <c r="U236" s="73"/>
      <c r="W236" s="107"/>
      <c r="Y236" s="107"/>
      <c r="AE236" s="72"/>
      <c r="AH236" s="69"/>
      <c r="AI236" s="69"/>
      <c r="AJ236" s="68"/>
      <c r="AK236" s="70"/>
      <c r="AL236" s="70"/>
      <c r="AS236" s="69"/>
      <c r="AT236" s="69"/>
      <c r="AU236" s="69"/>
      <c r="AV236" s="68"/>
      <c r="AW236" s="68"/>
      <c r="BE236" s="108"/>
    </row>
    <row r="237" spans="12:58" ht="15.75" x14ac:dyDescent="0.25">
      <c r="R237" s="72"/>
      <c r="T237" s="72"/>
      <c r="U237" s="73"/>
      <c r="W237" s="107"/>
      <c r="Y237" s="107"/>
      <c r="Z237" s="75"/>
      <c r="AA237" s="75"/>
      <c r="AB237" s="73"/>
      <c r="AE237" s="72"/>
      <c r="AH237" s="69"/>
      <c r="AI237" s="69"/>
      <c r="AJ237" s="68"/>
      <c r="AK237" s="70"/>
      <c r="AL237" s="70"/>
      <c r="AS237" s="69"/>
      <c r="AT237" s="69"/>
      <c r="AU237" s="69"/>
      <c r="AV237" s="68"/>
      <c r="AW237" s="68"/>
      <c r="BE237" s="110"/>
      <c r="BF237" s="111"/>
    </row>
    <row r="238" spans="12:58" ht="15.75" x14ac:dyDescent="0.25">
      <c r="R238" s="72"/>
      <c r="T238" s="72"/>
      <c r="U238" s="73"/>
      <c r="W238" s="107"/>
      <c r="Y238" s="107"/>
      <c r="AE238" s="72"/>
      <c r="AH238" s="69"/>
      <c r="AI238" s="69"/>
      <c r="AJ238" s="68"/>
      <c r="AK238" s="70"/>
      <c r="AL238" s="70"/>
      <c r="AS238" s="69"/>
      <c r="AT238" s="69"/>
      <c r="AU238" s="69"/>
      <c r="AV238" s="68"/>
      <c r="AW238" s="68"/>
      <c r="BE238" s="108"/>
    </row>
    <row r="239" spans="12:58" ht="15.75" x14ac:dyDescent="0.25">
      <c r="R239" s="72"/>
      <c r="T239" s="72"/>
      <c r="U239" s="73"/>
      <c r="W239" s="107"/>
      <c r="Y239" s="107"/>
      <c r="AE239" s="72"/>
      <c r="AH239" s="69"/>
      <c r="AI239" s="69"/>
      <c r="AJ239" s="68"/>
      <c r="AK239" s="70"/>
      <c r="AL239" s="70"/>
      <c r="AS239" s="69"/>
      <c r="AT239" s="69"/>
      <c r="AU239" s="69"/>
      <c r="AV239" s="68"/>
      <c r="AW239" s="68"/>
      <c r="BE239" s="110"/>
      <c r="BF239" s="111"/>
    </row>
    <row r="240" spans="12:58" ht="15.75" x14ac:dyDescent="0.25">
      <c r="R240" s="72"/>
      <c r="T240" s="72"/>
      <c r="U240" s="73"/>
      <c r="W240" s="107"/>
      <c r="Y240" s="107"/>
      <c r="AE240" s="72"/>
      <c r="AH240" s="69"/>
      <c r="AI240" s="69"/>
      <c r="AJ240" s="68"/>
      <c r="AK240" s="70"/>
      <c r="AL240" s="70"/>
      <c r="AS240" s="69"/>
      <c r="AT240" s="69"/>
      <c r="AU240" s="69"/>
      <c r="AV240" s="68"/>
      <c r="AW240" s="68"/>
      <c r="BE240" s="108"/>
    </row>
    <row r="241" spans="12:58" ht="15.75" x14ac:dyDescent="0.25">
      <c r="R241" s="72"/>
      <c r="T241" s="72"/>
      <c r="U241" s="73"/>
      <c r="W241" s="107"/>
      <c r="Y241" s="107"/>
      <c r="AE241" s="72"/>
      <c r="AH241" s="107"/>
      <c r="AI241" s="69"/>
      <c r="AJ241" s="68"/>
      <c r="AK241" s="70"/>
      <c r="AL241" s="70"/>
      <c r="AS241" s="69"/>
      <c r="AT241" s="69"/>
      <c r="AU241" s="69"/>
      <c r="AV241" s="68"/>
      <c r="AW241" s="68"/>
      <c r="BE241" s="110"/>
      <c r="BF241" s="111"/>
    </row>
    <row r="242" spans="12:58" ht="15.75" x14ac:dyDescent="0.25">
      <c r="R242" s="72"/>
      <c r="T242" s="72"/>
      <c r="U242" s="73"/>
      <c r="AH242" s="107"/>
      <c r="AI242" s="69"/>
      <c r="AJ242" s="68"/>
      <c r="AS242" s="69"/>
      <c r="AT242" s="69"/>
      <c r="AU242" s="69"/>
      <c r="AV242" s="68"/>
      <c r="AW242" s="68"/>
      <c r="BE242" s="108"/>
    </row>
    <row r="243" spans="12:58" ht="15.75" x14ac:dyDescent="0.25">
      <c r="R243" s="72"/>
      <c r="T243" s="72"/>
      <c r="U243" s="73"/>
      <c r="AH243" s="107"/>
      <c r="AI243" s="69"/>
      <c r="AJ243" s="68"/>
      <c r="AS243" s="69"/>
      <c r="AT243" s="69"/>
      <c r="AU243" s="69"/>
      <c r="AV243" s="68"/>
      <c r="AW243" s="68"/>
      <c r="BE243" s="110"/>
      <c r="BF243" s="111"/>
    </row>
    <row r="244" spans="12:58" ht="15.75" x14ac:dyDescent="0.25">
      <c r="R244" s="72"/>
      <c r="T244" s="72"/>
      <c r="U244" s="73"/>
      <c r="AH244" s="107"/>
      <c r="AI244" s="69"/>
      <c r="AJ244" s="68"/>
      <c r="AS244" s="69"/>
      <c r="AT244" s="69"/>
      <c r="AU244" s="69"/>
      <c r="AV244" s="68"/>
      <c r="AW244" s="68"/>
      <c r="BE244" s="108"/>
    </row>
    <row r="245" spans="12:58" ht="15.75" x14ac:dyDescent="0.25">
      <c r="R245" s="72"/>
      <c r="T245" s="72"/>
      <c r="U245" s="73"/>
      <c r="AI245" s="69"/>
      <c r="AJ245" s="68"/>
      <c r="AS245" s="69"/>
      <c r="AT245" s="69"/>
      <c r="AU245" s="69"/>
      <c r="AV245" s="68"/>
      <c r="AW245" s="68"/>
      <c r="BE245" s="110"/>
      <c r="BF245" s="111"/>
    </row>
    <row r="246" spans="12:58" ht="15.75" x14ac:dyDescent="0.25">
      <c r="R246" s="72"/>
      <c r="T246" s="72"/>
      <c r="U246" s="73"/>
      <c r="AI246" s="69"/>
      <c r="AJ246" s="112"/>
      <c r="AS246" s="69"/>
      <c r="AT246" s="69"/>
      <c r="AU246" s="69"/>
      <c r="AV246" s="68"/>
      <c r="AW246" s="68"/>
      <c r="BE246" s="108"/>
    </row>
    <row r="247" spans="12:58" ht="15.75" x14ac:dyDescent="0.25">
      <c r="R247" s="72"/>
      <c r="T247" s="72"/>
      <c r="U247" s="73"/>
      <c r="AS247" s="107"/>
      <c r="AT247" s="69"/>
      <c r="AU247" s="107"/>
      <c r="BE247" s="110"/>
      <c r="BF247" s="111"/>
    </row>
    <row r="248" spans="12:58" ht="15.75" x14ac:dyDescent="0.25">
      <c r="L248" s="107"/>
      <c r="R248" s="72"/>
      <c r="T248" s="72"/>
      <c r="U248" s="73"/>
      <c r="AS248" s="107"/>
      <c r="AT248" s="69"/>
      <c r="AU248" s="69"/>
      <c r="BE248" s="108"/>
    </row>
    <row r="249" spans="12:58" ht="15.75" x14ac:dyDescent="0.25">
      <c r="AS249" s="107"/>
      <c r="AT249" s="69"/>
      <c r="AU249" s="69"/>
      <c r="BE249" s="110"/>
      <c r="BF249" s="111"/>
    </row>
    <row r="250" spans="12:58" ht="15.75" x14ac:dyDescent="0.25">
      <c r="AT250" s="69"/>
      <c r="AU250" s="69"/>
      <c r="BE250" s="108"/>
    </row>
    <row r="251" spans="12:58" ht="15.75" x14ac:dyDescent="0.25">
      <c r="BE251" s="110"/>
      <c r="BF251" s="111"/>
    </row>
    <row r="252" spans="12:58" ht="15.75" x14ac:dyDescent="0.25">
      <c r="BE252" s="108"/>
    </row>
    <row r="253" spans="12:58" ht="15.75" x14ac:dyDescent="0.25">
      <c r="BE253" s="110"/>
      <c r="BF253" s="111"/>
    </row>
    <row r="254" spans="12:58" ht="15.75" x14ac:dyDescent="0.25">
      <c r="BE254" s="108"/>
    </row>
    <row r="255" spans="12:58" ht="15.75" x14ac:dyDescent="0.25">
      <c r="BE255" s="110"/>
      <c r="BF255" s="111"/>
    </row>
    <row r="256" spans="12:58" ht="15.75" x14ac:dyDescent="0.25">
      <c r="BE256" s="108"/>
    </row>
    <row r="257" spans="57:58" ht="15.75" x14ac:dyDescent="0.25">
      <c r="BE257" s="110"/>
      <c r="BF257" s="111"/>
    </row>
    <row r="258" spans="57:58" ht="15.75" x14ac:dyDescent="0.25">
      <c r="BE258" s="108"/>
    </row>
    <row r="259" spans="57:58" ht="15.75" x14ac:dyDescent="0.25">
      <c r="BE259" s="110"/>
      <c r="BF259" s="111"/>
    </row>
    <row r="260" spans="57:58" ht="15.75" x14ac:dyDescent="0.25">
      <c r="BE260" s="108"/>
    </row>
    <row r="261" spans="57:58" ht="15.75" x14ac:dyDescent="0.25">
      <c r="BE261" s="110"/>
      <c r="BF261" s="111"/>
    </row>
    <row r="262" spans="57:58" ht="15.75" x14ac:dyDescent="0.25">
      <c r="BE262" s="108"/>
    </row>
    <row r="263" spans="57:58" ht="15.75" x14ac:dyDescent="0.25">
      <c r="BE263" s="110"/>
      <c r="BF263" s="111"/>
    </row>
    <row r="264" spans="57:58" ht="15.75" x14ac:dyDescent="0.25">
      <c r="BE264" s="108"/>
    </row>
    <row r="265" spans="57:58" ht="15.75" x14ac:dyDescent="0.25">
      <c r="BE265" s="110"/>
      <c r="BF265" s="111"/>
    </row>
    <row r="266" spans="57:58" ht="15.75" x14ac:dyDescent="0.25">
      <c r="BE266" s="108"/>
    </row>
    <row r="267" spans="57:58" ht="15.75" x14ac:dyDescent="0.25">
      <c r="BE267" s="110"/>
      <c r="BF267" s="111"/>
    </row>
    <row r="268" spans="57:58" ht="15.75" x14ac:dyDescent="0.25">
      <c r="BE268" s="108"/>
    </row>
    <row r="269" spans="57:58" ht="15.75" x14ac:dyDescent="0.25">
      <c r="BE269" s="110"/>
      <c r="BF269" s="111"/>
    </row>
    <row r="270" spans="57:58" ht="15.75" x14ac:dyDescent="0.25">
      <c r="BE270" s="108"/>
    </row>
  </sheetData>
  <sheetProtection algorithmName="SHA-512" hashValue="0hfzPayZDodRSm9X6Vwq/OtzlelHY1F6rxq2XGLL6OS7hFVbbV7akFvh+IkBOT943UVi1uvmGUuWVVssfi9ADA==" saltValue="/DBZqOJln1tIH3+FzfDmaw==" spinCount="100000" sheet="1" objects="1" scenarios="1"/>
  <mergeCells count="17">
    <mergeCell ref="A1:I1"/>
    <mergeCell ref="A2:I2"/>
    <mergeCell ref="L2:U2"/>
    <mergeCell ref="W2:AF2"/>
    <mergeCell ref="AH2:AQ2"/>
    <mergeCell ref="A29:A30"/>
    <mergeCell ref="D18:G18"/>
    <mergeCell ref="D23:G23"/>
    <mergeCell ref="BD2:BF2"/>
    <mergeCell ref="E10:G10"/>
    <mergeCell ref="D14:G14"/>
    <mergeCell ref="E15:F15"/>
    <mergeCell ref="E16:F16"/>
    <mergeCell ref="AS2:BB2"/>
    <mergeCell ref="D4:H4"/>
    <mergeCell ref="D6:H6"/>
    <mergeCell ref="D8:H8"/>
  </mergeCells>
  <conditionalFormatting sqref="D20:F20 D25:F28">
    <cfRule type="cellIs" dxfId="31" priority="15" operator="equal">
      <formula>0</formula>
    </cfRule>
  </conditionalFormatting>
  <conditionalFormatting sqref="E10 BF233:BF270">
    <cfRule type="cellIs" dxfId="30" priority="19" operator="equal">
      <formula>"COM OFERTA"</formula>
    </cfRule>
    <cfRule type="cellIs" dxfId="29" priority="20" operator="equal">
      <formula>"SEM OFERTA"</formula>
    </cfRule>
  </conditionalFormatting>
  <conditionalFormatting sqref="E12">
    <cfRule type="cellIs" dxfId="28" priority="11" operator="equal">
      <formula>0</formula>
    </cfRule>
  </conditionalFormatting>
  <conditionalFormatting sqref="E16">
    <cfRule type="cellIs" dxfId="27" priority="8" operator="equal">
      <formula>0</formula>
    </cfRule>
  </conditionalFormatting>
  <conditionalFormatting sqref="F20 F25:F28">
    <cfRule type="cellIs" dxfId="26" priority="14" operator="equal">
      <formula>-1</formula>
    </cfRule>
  </conditionalFormatting>
  <conditionalFormatting sqref="G12">
    <cfRule type="cellIs" dxfId="25" priority="9" operator="equal">
      <formula>-1</formula>
    </cfRule>
    <cfRule type="cellIs" dxfId="24" priority="10" operator="equal">
      <formula>0</formula>
    </cfRule>
  </conditionalFormatting>
  <conditionalFormatting sqref="G16">
    <cfRule type="cellIs" dxfId="23" priority="12" operator="equal">
      <formula>-1</formula>
    </cfRule>
    <cfRule type="cellIs" dxfId="22" priority="13" operator="equal">
      <formula>0</formula>
    </cfRule>
  </conditionalFormatting>
  <conditionalFormatting sqref="M1:M3 X1:X3 AI1:AI3 AT1:AT3 AT226:AT232 M226:M1048576 X226:X1048576 AI226:AI1048576 AT234:AT1048576">
    <cfRule type="cellIs" dxfId="21" priority="6" operator="equal">
      <formula>"com oferta"</formula>
    </cfRule>
    <cfRule type="cellIs" dxfId="20" priority="7" operator="equal">
      <formula>"sem oferta"</formula>
    </cfRule>
  </conditionalFormatting>
  <pageMargins left="0.511811024" right="0.511811024" top="0.78740157499999996" bottom="0.78740157499999996" header="0.31496062000000002" footer="0.31496062000000002"/>
  <ignoredErrors>
    <ignoredError sqref="F26:G26 F27:G27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4</xdr:col>
                    <xdr:colOff>9525</xdr:colOff>
                    <xdr:row>7</xdr:row>
                    <xdr:rowOff>47625</xdr:rowOff>
                  </from>
                  <to>
                    <xdr:col>7</xdr:col>
                    <xdr:colOff>981075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5</xdr:row>
                    <xdr:rowOff>47625</xdr:rowOff>
                  </from>
                  <to>
                    <xdr:col>7</xdr:col>
                    <xdr:colOff>971550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5"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17F0-5672-4F48-8788-69ED667FA783}">
  <sheetPr>
    <tabColor theme="1" tint="0.34998626667073579"/>
  </sheetPr>
  <dimension ref="A1:DE270"/>
  <sheetViews>
    <sheetView showGridLines="0" workbookViewId="0">
      <selection activeCell="H12" sqref="H12"/>
    </sheetView>
  </sheetViews>
  <sheetFormatPr defaultColWidth="9.140625" defaultRowHeight="15" x14ac:dyDescent="0.25"/>
  <cols>
    <col min="1" max="1" width="10.28515625" style="14" customWidth="1"/>
    <col min="2" max="2" width="1.42578125" customWidth="1"/>
    <col min="3" max="3" width="3.7109375" customWidth="1"/>
    <col min="4" max="4" width="23.42578125" customWidth="1"/>
    <col min="5" max="5" width="21.42578125" style="15" bestFit="1" customWidth="1"/>
    <col min="6" max="6" width="21.140625" style="15" customWidth="1"/>
    <col min="7" max="7" width="33.7109375" customWidth="1"/>
    <col min="8" max="8" width="24" customWidth="1"/>
    <col min="9" max="9" width="5.42578125" customWidth="1"/>
    <col min="10" max="10" width="3.7109375" customWidth="1"/>
    <col min="11" max="11" width="9.140625" hidden="1" customWidth="1"/>
    <col min="12" max="12" width="9.140625" style="67" hidden="1" customWidth="1"/>
    <col min="13" max="13" width="2.85546875" style="67" hidden="1" customWidth="1"/>
    <col min="14" max="14" width="42.85546875" style="69" hidden="1" customWidth="1"/>
    <col min="15" max="15" width="12.28515625" style="69" hidden="1" customWidth="1"/>
    <col min="16" max="16" width="21.85546875" style="69" hidden="1" customWidth="1"/>
    <col min="17" max="17" width="19.42578125" style="68" hidden="1" customWidth="1"/>
    <col min="18" max="18" width="15.85546875" style="68" hidden="1" customWidth="1"/>
    <col min="19" max="19" width="14.85546875" style="71" hidden="1" customWidth="1"/>
    <col min="20" max="20" width="11.85546875" style="71" hidden="1" customWidth="1"/>
    <col min="21" max="21" width="10.85546875" style="71" hidden="1" customWidth="1"/>
    <col min="22" max="23" width="21.42578125" style="71" hidden="1" customWidth="1"/>
    <col min="24" max="24" width="23.85546875" style="75" hidden="1" customWidth="1"/>
    <col min="25" max="25" width="21.42578125" style="75" hidden="1" customWidth="1"/>
    <col min="26" max="26" width="21.42578125" style="71" hidden="1" customWidth="1"/>
    <col min="27" max="27" width="19.140625" style="72" hidden="1" customWidth="1"/>
    <col min="28" max="28" width="23.85546875" style="71" hidden="1" customWidth="1"/>
    <col min="29" max="29" width="21.42578125" style="72" hidden="1" customWidth="1"/>
    <col min="30" max="30" width="21.42578125" style="71" hidden="1" customWidth="1"/>
    <col min="31" max="32" width="32.85546875" style="71" hidden="1" customWidth="1"/>
    <col min="33" max="33" width="2.85546875" style="69" hidden="1" customWidth="1"/>
    <col min="34" max="34" width="43.7109375" style="69" hidden="1" customWidth="1"/>
    <col min="35" max="36" width="13.7109375" style="69" hidden="1" customWidth="1"/>
    <col min="37" max="37" width="17.140625" style="70" hidden="1" customWidth="1"/>
    <col min="38" max="38" width="13.5703125" style="70" hidden="1" customWidth="1"/>
    <col min="39" max="39" width="12.5703125" style="71" hidden="1" customWidth="1"/>
    <col min="40" max="40" width="11.85546875" style="72" hidden="1" customWidth="1"/>
    <col min="41" max="41" width="9.140625" style="73" hidden="1" customWidth="1"/>
    <col min="42" max="42" width="9.42578125" style="71" hidden="1" customWidth="1"/>
    <col min="43" max="43" width="10.7109375" style="73" hidden="1" customWidth="1"/>
    <col min="44" max="44" width="21.5703125" style="75" hidden="1" customWidth="1"/>
    <col min="45" max="45" width="16.140625" style="75" hidden="1" customWidth="1"/>
    <col min="46" max="46" width="14" style="73" hidden="1" customWidth="1"/>
    <col min="47" max="47" width="11" style="72" hidden="1" customWidth="1"/>
    <col min="48" max="48" width="10" style="73" hidden="1" customWidth="1"/>
    <col min="49" max="49" width="10.42578125" style="72" hidden="1" customWidth="1"/>
    <col min="50" max="50" width="9.42578125" style="73" hidden="1" customWidth="1"/>
    <col min="51" max="51" width="28.28515625" style="73" hidden="1" customWidth="1"/>
    <col min="52" max="52" width="33.85546875" style="73" hidden="1" customWidth="1"/>
    <col min="53" max="53" width="4.7109375" style="74" hidden="1" customWidth="1"/>
    <col min="54" max="54" width="43.7109375" style="74" hidden="1" customWidth="1"/>
    <col min="55" max="56" width="13.7109375" style="72" hidden="1" customWidth="1"/>
    <col min="57" max="57" width="17.140625" style="75" hidden="1" customWidth="1"/>
    <col min="58" max="58" width="13.5703125" style="75" hidden="1" customWidth="1"/>
    <col min="59" max="59" width="14.85546875" style="73" hidden="1" customWidth="1"/>
    <col min="60" max="60" width="11.85546875" style="72" hidden="1" customWidth="1"/>
    <col min="61" max="61" width="10.85546875" style="73" hidden="1" customWidth="1"/>
    <col min="62" max="62" width="11.7109375" style="72" hidden="1" customWidth="1"/>
    <col min="63" max="63" width="10.7109375" style="73" hidden="1" customWidth="1"/>
    <col min="64" max="64" width="21.5703125" style="75" hidden="1" customWidth="1"/>
    <col min="65" max="65" width="16.140625" style="75" hidden="1" customWidth="1"/>
    <col min="66" max="66" width="14" style="73" hidden="1" customWidth="1"/>
    <col min="67" max="67" width="11" style="72" hidden="1" customWidth="1"/>
    <col min="68" max="68" width="10" style="73" hidden="1" customWidth="1"/>
    <col min="69" max="69" width="10.42578125" style="72" hidden="1" customWidth="1"/>
    <col min="70" max="70" width="9.42578125" style="73" hidden="1" customWidth="1"/>
    <col min="71" max="71" width="28.28515625" style="73" hidden="1" customWidth="1"/>
    <col min="72" max="72" width="33.85546875" style="73" hidden="1" customWidth="1"/>
    <col min="73" max="73" width="4.7109375" style="74" hidden="1" customWidth="1"/>
    <col min="74" max="74" width="43.7109375" style="74" hidden="1" customWidth="1"/>
    <col min="75" max="76" width="12.28515625" style="74" hidden="1" customWidth="1"/>
    <col min="77" max="77" width="23" style="72" hidden="1" customWidth="1"/>
    <col min="78" max="78" width="18.5703125" style="72" hidden="1" customWidth="1"/>
    <col min="79" max="79" width="12.5703125" style="73" hidden="1" customWidth="1"/>
    <col min="80" max="80" width="9.5703125" style="72" hidden="1" customWidth="1"/>
    <col min="81" max="81" width="10.85546875" style="73" hidden="1" customWidth="1"/>
    <col min="82" max="82" width="9.42578125" style="72" hidden="1" customWidth="1"/>
    <col min="83" max="83" width="10.7109375" style="73" hidden="1" customWidth="1"/>
    <col min="84" max="84" width="21.5703125" style="75" hidden="1" customWidth="1"/>
    <col min="85" max="85" width="16.140625" style="75" hidden="1" customWidth="1"/>
    <col min="86" max="86" width="14" style="73" hidden="1" customWidth="1"/>
    <col min="87" max="87" width="11" style="72" hidden="1" customWidth="1"/>
    <col min="88" max="88" width="10" style="73" hidden="1" customWidth="1"/>
    <col min="89" max="89" width="10.42578125" style="72" hidden="1" customWidth="1"/>
    <col min="90" max="90" width="9.42578125" style="73" hidden="1" customWidth="1"/>
    <col min="91" max="91" width="28.28515625" style="73" hidden="1" customWidth="1"/>
    <col min="92" max="92" width="33.85546875" style="73" hidden="1" customWidth="1"/>
    <col min="93" max="93" width="10.7109375" style="73" hidden="1" customWidth="1"/>
    <col min="94" max="94" width="8.5703125" style="104" hidden="1" customWidth="1"/>
    <col min="95" max="95" width="115.7109375" style="69" hidden="1" customWidth="1"/>
    <col min="96" max="96" width="21.7109375" style="69" hidden="1" customWidth="1"/>
    <col min="97" max="97" width="18" style="129" hidden="1" customWidth="1"/>
    <col min="98" max="98" width="21.140625" style="147" hidden="1" customWidth="1"/>
    <col min="99" max="99" width="33.28515625" style="129" hidden="1" customWidth="1"/>
    <col min="100" max="102" width="9.140625" style="129" hidden="1" customWidth="1"/>
    <col min="103" max="109" width="9.140625" style="129" customWidth="1"/>
    <col min="110" max="120" width="9.140625" style="2" customWidth="1"/>
    <col min="121" max="16384" width="9.140625" style="2"/>
  </cols>
  <sheetData>
    <row r="1" spans="1:109" ht="32.25" customHeight="1" x14ac:dyDescent="0.25">
      <c r="A1" s="174" t="s">
        <v>0</v>
      </c>
      <c r="B1" s="175"/>
      <c r="C1" s="175"/>
      <c r="D1" s="175"/>
      <c r="E1" s="175"/>
      <c r="F1" s="175"/>
      <c r="G1" s="175"/>
      <c r="H1" s="175"/>
      <c r="I1" s="176"/>
      <c r="J1" s="1"/>
      <c r="K1" s="1"/>
      <c r="N1" s="68">
        <v>1</v>
      </c>
      <c r="O1" s="68">
        <v>2</v>
      </c>
      <c r="P1" s="68">
        <v>3</v>
      </c>
      <c r="Q1" s="68">
        <v>4</v>
      </c>
      <c r="R1" s="68">
        <v>5</v>
      </c>
      <c r="S1" s="68">
        <v>6</v>
      </c>
      <c r="T1" s="68">
        <v>7</v>
      </c>
      <c r="U1" s="68">
        <v>8</v>
      </c>
      <c r="V1" s="68">
        <v>9</v>
      </c>
      <c r="W1" s="68">
        <v>10</v>
      </c>
      <c r="X1" s="68">
        <v>11</v>
      </c>
      <c r="Y1" s="68">
        <v>12</v>
      </c>
      <c r="Z1" s="68">
        <v>13</v>
      </c>
      <c r="AA1" s="68">
        <v>14</v>
      </c>
      <c r="AB1" s="68">
        <v>15</v>
      </c>
      <c r="AC1" s="68">
        <v>16</v>
      </c>
      <c r="AD1" s="68">
        <v>17</v>
      </c>
      <c r="AE1" s="68">
        <v>18</v>
      </c>
      <c r="AF1" s="68">
        <v>19</v>
      </c>
      <c r="AH1" s="69">
        <v>1</v>
      </c>
      <c r="AI1" s="69">
        <v>2</v>
      </c>
      <c r="AJ1" s="69">
        <v>3</v>
      </c>
      <c r="AK1" s="69">
        <v>4</v>
      </c>
      <c r="AL1" s="69">
        <v>5</v>
      </c>
      <c r="AM1" s="69">
        <v>6</v>
      </c>
      <c r="AN1" s="69">
        <v>7</v>
      </c>
      <c r="AO1" s="69">
        <v>8</v>
      </c>
      <c r="AP1" s="69">
        <v>9</v>
      </c>
      <c r="AQ1" s="69">
        <v>10</v>
      </c>
      <c r="AR1" s="70"/>
      <c r="AS1" s="70"/>
      <c r="AT1" s="69"/>
      <c r="AU1" s="74"/>
      <c r="AV1" s="69"/>
      <c r="AW1" s="74"/>
      <c r="AX1" s="69"/>
      <c r="AY1" s="69"/>
      <c r="AZ1" s="69"/>
      <c r="CP1" s="76"/>
      <c r="CQ1" s="77" t="s">
        <v>1</v>
      </c>
      <c r="CR1" s="78">
        <v>3</v>
      </c>
      <c r="CS1" s="126" t="str">
        <f>VLOOKUP(CR1,Tabela142011[[SERIE]:[Curso]],2,FALSE)</f>
        <v>ESPECIALIZAÇÃO EM ANÁLISES CLÍNICAS E DIAGNÓSTICO LABORATORIAL</v>
      </c>
      <c r="CT1" s="127"/>
      <c r="CU1" s="128" t="s">
        <v>1</v>
      </c>
      <c r="CV1" s="126">
        <v>1</v>
      </c>
      <c r="CW1" s="126" t="str">
        <f>VLOOKUP(CV1,CT4:CU7,2,FALSE)</f>
        <v>UNIFAEL.</v>
      </c>
    </row>
    <row r="2" spans="1:109" s="4" customFormat="1" ht="20.25" x14ac:dyDescent="0.3">
      <c r="A2" s="177" t="s">
        <v>361</v>
      </c>
      <c r="B2" s="178"/>
      <c r="C2" s="178"/>
      <c r="D2" s="178"/>
      <c r="E2" s="178"/>
      <c r="F2" s="178"/>
      <c r="G2" s="178"/>
      <c r="H2" s="178"/>
      <c r="I2" s="179"/>
      <c r="J2" s="3"/>
      <c r="K2" s="3"/>
      <c r="L2" s="79"/>
      <c r="M2" s="79"/>
      <c r="N2" s="180" t="s">
        <v>2</v>
      </c>
      <c r="O2" s="180"/>
      <c r="P2" s="180"/>
      <c r="Q2" s="180"/>
      <c r="R2" s="180"/>
      <c r="S2" s="180"/>
      <c r="T2" s="180"/>
      <c r="U2" s="180"/>
      <c r="V2" s="180"/>
      <c r="W2" s="180"/>
      <c r="X2" s="130"/>
      <c r="Y2" s="160"/>
      <c r="Z2" s="113"/>
      <c r="AA2" s="131"/>
      <c r="AB2" s="80"/>
      <c r="AC2" s="131"/>
      <c r="AD2" s="132"/>
      <c r="AE2" s="132"/>
      <c r="AF2" s="132"/>
      <c r="AG2" s="81"/>
      <c r="AH2" s="182" t="s">
        <v>3</v>
      </c>
      <c r="AI2" s="182"/>
      <c r="AJ2" s="182"/>
      <c r="AK2" s="182"/>
      <c r="AL2" s="182"/>
      <c r="AM2" s="182"/>
      <c r="AN2" s="182"/>
      <c r="AO2" s="182"/>
      <c r="AP2" s="182"/>
      <c r="AQ2" s="182"/>
      <c r="AR2" s="133"/>
      <c r="AS2" s="133"/>
      <c r="AT2" s="82"/>
      <c r="AU2" s="84"/>
      <c r="AV2" s="82"/>
      <c r="AW2" s="84"/>
      <c r="AX2" s="82"/>
      <c r="AY2" s="82"/>
      <c r="AZ2" s="82"/>
      <c r="BA2" s="83"/>
      <c r="BB2" s="183" t="s">
        <v>4</v>
      </c>
      <c r="BC2" s="183"/>
      <c r="BD2" s="183"/>
      <c r="BE2" s="183"/>
      <c r="BF2" s="183"/>
      <c r="BG2" s="183"/>
      <c r="BH2" s="183"/>
      <c r="BI2" s="183"/>
      <c r="BJ2" s="183"/>
      <c r="BK2" s="183"/>
      <c r="BL2" s="134"/>
      <c r="BM2" s="134"/>
      <c r="BN2" s="84"/>
      <c r="BO2" s="84"/>
      <c r="BP2" s="84"/>
      <c r="BQ2" s="84"/>
      <c r="BR2" s="84"/>
      <c r="BS2" s="84"/>
      <c r="BT2" s="84"/>
      <c r="BU2" s="83"/>
      <c r="BV2" s="183" t="s">
        <v>5</v>
      </c>
      <c r="BW2" s="183"/>
      <c r="BX2" s="183"/>
      <c r="BY2" s="183"/>
      <c r="BZ2" s="183"/>
      <c r="CA2" s="183"/>
      <c r="CB2" s="183"/>
      <c r="CC2" s="183"/>
      <c r="CD2" s="183"/>
      <c r="CE2" s="183"/>
      <c r="CF2" s="134"/>
      <c r="CG2" s="134"/>
      <c r="CH2" s="84"/>
      <c r="CI2" s="84"/>
      <c r="CJ2" s="84"/>
      <c r="CK2" s="84"/>
      <c r="CL2" s="84"/>
      <c r="CM2" s="84"/>
      <c r="CN2" s="84"/>
      <c r="CO2" s="84"/>
      <c r="CP2" s="167" t="s">
        <v>6</v>
      </c>
      <c r="CQ2" s="167"/>
      <c r="CR2" s="167"/>
      <c r="CS2" s="135"/>
      <c r="CT2" s="136"/>
      <c r="CU2" s="135"/>
      <c r="CV2" s="135"/>
      <c r="CW2" s="135"/>
      <c r="CX2" s="137"/>
      <c r="CY2" s="137"/>
      <c r="CZ2" s="137"/>
      <c r="DA2" s="137"/>
      <c r="DB2" s="137"/>
      <c r="DC2" s="137"/>
      <c r="DD2" s="137"/>
      <c r="DE2" s="137"/>
    </row>
    <row r="3" spans="1:109" s="5" customFormat="1" ht="12.75" customHeight="1" x14ac:dyDescent="0.25">
      <c r="A3" s="46"/>
      <c r="B3" s="16"/>
      <c r="C3" s="17"/>
      <c r="D3" s="17"/>
      <c r="E3" s="18"/>
      <c r="F3" s="18"/>
      <c r="G3" s="17"/>
      <c r="H3" s="17"/>
      <c r="I3" s="19"/>
      <c r="J3" s="1"/>
      <c r="K3" s="1"/>
      <c r="L3" s="85"/>
      <c r="M3" s="85"/>
      <c r="N3" s="86" t="s">
        <v>7</v>
      </c>
      <c r="O3" s="86" t="s">
        <v>6</v>
      </c>
      <c r="P3" s="86" t="s">
        <v>8</v>
      </c>
      <c r="Q3" s="87" t="s">
        <v>9</v>
      </c>
      <c r="R3" s="87" t="s">
        <v>10</v>
      </c>
      <c r="S3" s="88" t="s">
        <v>11</v>
      </c>
      <c r="T3" s="87" t="s">
        <v>12</v>
      </c>
      <c r="U3" s="88" t="s">
        <v>13</v>
      </c>
      <c r="V3" s="87" t="s">
        <v>14</v>
      </c>
      <c r="W3" s="88" t="s">
        <v>15</v>
      </c>
      <c r="X3" s="90" t="s">
        <v>359</v>
      </c>
      <c r="Y3" s="90" t="s">
        <v>370</v>
      </c>
      <c r="Z3" s="88" t="s">
        <v>356</v>
      </c>
      <c r="AA3" s="115" t="s">
        <v>355</v>
      </c>
      <c r="AB3" s="138" t="s">
        <v>357</v>
      </c>
      <c r="AC3" s="115" t="s">
        <v>352</v>
      </c>
      <c r="AD3" s="138" t="s">
        <v>353</v>
      </c>
      <c r="AE3" s="138" t="s">
        <v>349</v>
      </c>
      <c r="AF3" s="138" t="s">
        <v>354</v>
      </c>
      <c r="AG3" s="86" t="s">
        <v>349</v>
      </c>
      <c r="AH3" s="89" t="s">
        <v>350</v>
      </c>
      <c r="AI3" s="89" t="s">
        <v>6</v>
      </c>
      <c r="AJ3" s="89" t="s">
        <v>8</v>
      </c>
      <c r="AK3" s="90" t="s">
        <v>9</v>
      </c>
      <c r="AL3" s="90" t="s">
        <v>10</v>
      </c>
      <c r="AM3" s="88" t="s">
        <v>11</v>
      </c>
      <c r="AN3" s="91" t="s">
        <v>12</v>
      </c>
      <c r="AO3" s="88" t="s">
        <v>13</v>
      </c>
      <c r="AP3" s="87" t="s">
        <v>14</v>
      </c>
      <c r="AQ3" s="88" t="s">
        <v>15</v>
      </c>
      <c r="AR3" s="90" t="s">
        <v>359</v>
      </c>
      <c r="AS3" s="90" t="s">
        <v>358</v>
      </c>
      <c r="AT3" s="139" t="s">
        <v>356</v>
      </c>
      <c r="AU3" s="140" t="s">
        <v>355</v>
      </c>
      <c r="AV3" s="139" t="s">
        <v>357</v>
      </c>
      <c r="AW3" s="140" t="s">
        <v>352</v>
      </c>
      <c r="AX3" s="141" t="s">
        <v>353</v>
      </c>
      <c r="AY3" s="139" t="s">
        <v>349</v>
      </c>
      <c r="AZ3" s="139" t="s">
        <v>354</v>
      </c>
      <c r="BA3" s="92"/>
      <c r="BB3" s="93" t="s">
        <v>7</v>
      </c>
      <c r="BC3" s="94" t="s">
        <v>6</v>
      </c>
      <c r="BD3" s="94" t="s">
        <v>8</v>
      </c>
      <c r="BE3" s="95" t="s">
        <v>9</v>
      </c>
      <c r="BF3" s="95" t="s">
        <v>10</v>
      </c>
      <c r="BG3" s="96" t="s">
        <v>11</v>
      </c>
      <c r="BH3" s="97" t="s">
        <v>12</v>
      </c>
      <c r="BI3" s="98" t="s">
        <v>13</v>
      </c>
      <c r="BJ3" s="97" t="s">
        <v>14</v>
      </c>
      <c r="BK3" s="98" t="s">
        <v>15</v>
      </c>
      <c r="BL3" s="142" t="s">
        <v>359</v>
      </c>
      <c r="BM3" s="142" t="s">
        <v>358</v>
      </c>
      <c r="BN3" s="143" t="s">
        <v>356</v>
      </c>
      <c r="BO3" s="92" t="s">
        <v>355</v>
      </c>
      <c r="BP3" s="143" t="s">
        <v>357</v>
      </c>
      <c r="BQ3" s="92" t="s">
        <v>352</v>
      </c>
      <c r="BR3" s="143" t="s">
        <v>353</v>
      </c>
      <c r="BS3" s="143" t="s">
        <v>349</v>
      </c>
      <c r="BT3" s="143" t="s">
        <v>354</v>
      </c>
      <c r="BU3" s="92"/>
      <c r="BV3" s="93" t="s">
        <v>7</v>
      </c>
      <c r="BW3" s="93" t="s">
        <v>6</v>
      </c>
      <c r="BX3" s="93" t="s">
        <v>8</v>
      </c>
      <c r="BY3" s="94" t="s">
        <v>9</v>
      </c>
      <c r="BZ3" s="94" t="s">
        <v>10</v>
      </c>
      <c r="CA3" s="96" t="s">
        <v>11</v>
      </c>
      <c r="CB3" s="97" t="s">
        <v>12</v>
      </c>
      <c r="CC3" s="98" t="s">
        <v>13</v>
      </c>
      <c r="CD3" s="97" t="s">
        <v>14</v>
      </c>
      <c r="CE3" s="98" t="s">
        <v>15</v>
      </c>
      <c r="CF3" s="142" t="s">
        <v>359</v>
      </c>
      <c r="CG3" s="142" t="s">
        <v>358</v>
      </c>
      <c r="CH3" s="143" t="s">
        <v>356</v>
      </c>
      <c r="CI3" s="92" t="s">
        <v>355</v>
      </c>
      <c r="CJ3" s="143" t="s">
        <v>357</v>
      </c>
      <c r="CK3" s="92" t="s">
        <v>352</v>
      </c>
      <c r="CL3" s="143" t="s">
        <v>353</v>
      </c>
      <c r="CM3" s="143" t="s">
        <v>349</v>
      </c>
      <c r="CN3" s="143" t="s">
        <v>354</v>
      </c>
      <c r="CO3" s="98"/>
      <c r="CP3" s="99" t="s">
        <v>16</v>
      </c>
      <c r="CQ3" s="99" t="s">
        <v>17</v>
      </c>
      <c r="CR3" s="99"/>
      <c r="CS3" s="144"/>
      <c r="CT3" s="145"/>
      <c r="CU3" s="146" t="s">
        <v>18</v>
      </c>
      <c r="CV3" s="144"/>
      <c r="CW3" s="144"/>
      <c r="CX3" s="144"/>
      <c r="CY3" s="144"/>
      <c r="CZ3" s="144"/>
      <c r="DA3" s="144"/>
      <c r="DB3" s="144"/>
      <c r="DC3" s="144"/>
      <c r="DD3" s="144"/>
      <c r="DE3" s="144"/>
    </row>
    <row r="4" spans="1:109" ht="27.75" customHeight="1" x14ac:dyDescent="0.25">
      <c r="A4" s="47"/>
      <c r="B4" s="16"/>
      <c r="C4" s="17"/>
      <c r="D4" s="172" t="s">
        <v>342</v>
      </c>
      <c r="E4" s="172"/>
      <c r="F4" s="172"/>
      <c r="G4" s="172"/>
      <c r="H4" s="172"/>
      <c r="I4" s="19"/>
      <c r="J4" s="6"/>
      <c r="K4" s="6"/>
      <c r="N4" s="121" t="s">
        <v>77</v>
      </c>
      <c r="O4" s="69" t="s">
        <v>19</v>
      </c>
      <c r="P4" s="69" t="str">
        <f>VLOOKUP(UNIFAEL.[[#This Row],[CURSO]],'[1]POS_VIVO_0112 a 3101_CAMP. REG)'!$F$5:$G$113,2,FALSE)</f>
        <v>Educação</v>
      </c>
      <c r="Q4" s="68">
        <f>VLOOKUP(UNIFAEL.[[#This Row],[CURSO]],'[1]POS_VIVO_0112 a 3101_CAMP. REG)'!$F$5:$H$113,3,FALSE)</f>
        <v>12</v>
      </c>
      <c r="R4" s="68">
        <f>VLOOKUP(UNIFAEL.[[#This Row],[CURSO]],'[1]POS_VIVO_0112 a 3101_CAMP. REG)'!$F$5:$I$113,4,FALSE)</f>
        <v>19</v>
      </c>
      <c r="S4" s="73">
        <f>VLOOKUP(UNIFAEL.[[#This Row],[CURSO]],'[1]POS_VIVO_0112 a 3101_CAMP. REG)'!$F$5:$J$113,5,FALSE)</f>
        <v>262.27804200000003</v>
      </c>
      <c r="T4" s="124">
        <f>VLOOKUP(UNIFAEL.[[#This Row],[CURSO]],'[1]POS_VIVO_0112 a 3101_CAMP. REG)'!$F$5:$L$113,7,FALSE)</f>
        <v>0.5</v>
      </c>
      <c r="U4" s="73">
        <f>VLOOKUP(UNIFAEL.[[#This Row],[CURSO]],'[1]POS_VIVO_0112 a 3101_CAMP. REG)'!$F$5:$M$113,8,FALSE)</f>
        <v>118.03</v>
      </c>
      <c r="V4" s="124">
        <f>VLOOKUP(UNIFAEL.[[#This Row],[CURSO]],'[1]POS_VIVO_0112 a 3101_CAMP. REG)'!$F$5:$P$113,11,FALSE)</f>
        <v>0.55000000000000004</v>
      </c>
      <c r="W4" s="73">
        <f>VLOOKUP(UNIFAEL.[[#This Row],[CURSO]],'[1]POS_VIVO_0112 a 3101_CAMP. REG)'!$F$5:$Q$113,12,FALSE)</f>
        <v>106.22</v>
      </c>
      <c r="X4" s="68">
        <f>UNIFAEL.[[#This Row],[Nº Parcelas]]</f>
        <v>19</v>
      </c>
      <c r="Y4" s="68">
        <f>UNIFAEL.[[#This Row],[Nº Parcelas normal2]]-1</f>
        <v>18</v>
      </c>
      <c r="Z4" s="71">
        <f>UNIFAEL.[[#This Row],[$ NORMAL]]</f>
        <v>262.27804200000003</v>
      </c>
      <c r="AA4" s="162">
        <f>UNIFAEL.[[#This Row],[%  SITE]]</f>
        <v>0.5</v>
      </c>
      <c r="AB4" s="161">
        <f>UNIFAEL.[[#This Row],[$ SITE]]</f>
        <v>118.03</v>
      </c>
      <c r="AC4" s="162">
        <f>UNIFAEL.[[#This Row],[%  SGP]]</f>
        <v>0.55000000000000004</v>
      </c>
      <c r="AD4" s="161">
        <f>UNIFAEL.[[#This Row],[$ SGP]]</f>
        <v>106.22</v>
      </c>
      <c r="AE4" s="69" t="s">
        <v>371</v>
      </c>
      <c r="AF4" s="69" t="s">
        <v>372</v>
      </c>
      <c r="AH4" s="121" t="s">
        <v>77</v>
      </c>
      <c r="AI4" s="69" t="s">
        <v>19</v>
      </c>
      <c r="AJ4" s="69" t="str">
        <f>VLOOKUP(UNAMA.[[#This Row],[PARCELA MATRICULA NÃO PAGA]],'[1]POS_VIVO_0112 a 3101_CAMP. REG)'!$F$115:$G$222,2,FALSE)</f>
        <v>Educação</v>
      </c>
      <c r="AK4" s="69">
        <f>VLOOKUP(UNAMA.[[#This Row],[PARCELA MATRICULA NÃO PAGA]],'[1]POS_VIVO_0112 a 3101_CAMP. REG)'!$F$115:$H$222,3,FALSE)</f>
        <v>12</v>
      </c>
      <c r="AL4" s="69">
        <f>VLOOKUP(UNAMA.[[#This Row],[PARCELA MATRICULA NÃO PAGA]],'[1]POS_VIVO_0112 a 3101_CAMP. REG)'!$F$115:$I$222,4,FALSE)</f>
        <v>19</v>
      </c>
      <c r="AM4" s="73">
        <f>VLOOKUP(UNAMA.[[#This Row],[PARCELA MATRICULA NÃO PAGA]],'[1]POS_VIVO_0112 a 3101_CAMP. REG)'!$F$115:$J$222,5,FALSE)</f>
        <v>291.43870800000002</v>
      </c>
      <c r="AN4" s="123">
        <f>VLOOKUP(UNAMA.[[#This Row],[PARCELA MATRICULA NÃO PAGA]],'[1]POS_VIVO_0112 a 3101_CAMP. REG)'!$F$115:$L$222,7,FALSE)</f>
        <v>0.5</v>
      </c>
      <c r="AO4" s="69">
        <f>VLOOKUP(UNAMA.[[#This Row],[PARCELA MATRICULA NÃO PAGA]],'[1]POS_VIVO_0112 a 3101_CAMP. REG)'!$F$115:$M$222,8,FALSE)</f>
        <v>131.15</v>
      </c>
      <c r="AP4" s="124">
        <f>VLOOKUP(UNAMA.[[#This Row],[PARCELA MATRICULA NÃO PAGA]],'[1]POS_VIVO_0112 a 3101_CAMP. REG)'!$F$115:$P$222,11,FALSE)</f>
        <v>0.55000000000000004</v>
      </c>
      <c r="AQ4" s="73">
        <f>VLOOKUP(UNAMA.[[#This Row],[PARCELA MATRICULA NÃO PAGA]],'[1]POS_VIVO_0112 a 3101_CAMP. REG)'!$F$115:$Q$222,12,FALSE)</f>
        <v>118.03</v>
      </c>
      <c r="AR4" s="68">
        <f>UNAMA.[[#This Row],[Nº Parcelas]]</f>
        <v>19</v>
      </c>
      <c r="AS4" s="68">
        <f>UNAMA.[[#This Row],[Nº Parcelas normal2]]-1</f>
        <v>18</v>
      </c>
      <c r="AT4" s="71">
        <f>UNAMA.[[#This Row],[$ NORMAL]]</f>
        <v>291.43870800000002</v>
      </c>
      <c r="AU4" s="162">
        <f>UNAMA.[[#This Row],[%  SITE]]</f>
        <v>0.5</v>
      </c>
      <c r="AV4" s="161">
        <f>UNAMA.[[#This Row],[$ SITE]]</f>
        <v>131.15</v>
      </c>
      <c r="AW4" s="162">
        <f>UNAMA.[[#This Row],[%  SGP]]</f>
        <v>0.55000000000000004</v>
      </c>
      <c r="AX4" s="161">
        <f>UNAMA.[[#This Row],[$ SGP]]</f>
        <v>118.03</v>
      </c>
      <c r="AY4" s="69" t="s">
        <v>351</v>
      </c>
      <c r="AZ4" s="69" t="s">
        <v>372</v>
      </c>
      <c r="BB4" s="121" t="s">
        <v>77</v>
      </c>
      <c r="BC4" s="69" t="s">
        <v>19</v>
      </c>
      <c r="BD4" s="69" t="str">
        <f>VLOOKUP(UNG.[[#This Row],[CURSO]],'[1]POS_VIVO_0112 a 3101_CAMP. REG)'!$F$224:$G$331,2,FALSE)</f>
        <v>Educação</v>
      </c>
      <c r="BE4" s="68">
        <f>VLOOKUP(UNG.[[#This Row],[CURSO]],'[1]POS_VIVO_0112 a 3101_CAMP. REG)'!$F$224:$H$331,3,FALSE)</f>
        <v>12</v>
      </c>
      <c r="BF4" s="68">
        <f>VLOOKUP(UNG.[[#This Row],[CURSO]],'[1]POS_VIVO_0112 a 3101_CAMP. REG)'!$F$224:$I$331,4,FALSE)</f>
        <v>19</v>
      </c>
      <c r="BG4" s="73">
        <f>VLOOKUP(UNG.[[#This Row],[CURSO]],'[1]POS_VIVO_0112 a 3101_CAMP. REG)'!$F$224:$J$331,5,FALSE)</f>
        <v>262.27804200000003</v>
      </c>
      <c r="BH4" s="124">
        <f>VLOOKUP(UNG.[[#This Row],[CURSO]],'[1]POS_VIVO_0112 a 3101_CAMP. REG)'!$F$224:$L$331,7,FALSE)</f>
        <v>0.5</v>
      </c>
      <c r="BI4" s="73">
        <f>VLOOKUP(UNG.[[#This Row],[CURSO]],'[1]POS_VIVO_0112 a 3101_CAMP. REG)'!$F$224:$M$331,8,FALSE)</f>
        <v>118.03</v>
      </c>
      <c r="BJ4" s="124">
        <f>VLOOKUP(UNG.[[#This Row],[CURSO]],'[1]POS_VIVO_0112 a 3101_CAMP. REG)'!$F$224:$P$331,11,FALSE)</f>
        <v>0.55000000000000004</v>
      </c>
      <c r="BK4" s="73">
        <f>VLOOKUP(UNG.[[#This Row],[CURSO]],'[1]POS_VIVO_0112 a 3101_CAMP. REG)'!$F$224:$Q$331,12,FALSE)</f>
        <v>106.22</v>
      </c>
      <c r="BL4" s="75">
        <f>UNG.[[#This Row],[Nº Parcelas]]</f>
        <v>19</v>
      </c>
      <c r="BM4" s="70">
        <f>UNG.[[#This Row],[Nº Parcelas normal2]]-1</f>
        <v>18</v>
      </c>
      <c r="BN4" s="161">
        <f>UNG.[[#This Row],[$ NORMAL]]</f>
        <v>262.27804200000003</v>
      </c>
      <c r="BO4" s="162">
        <f>UNG.[[#This Row],[%  SITE]]</f>
        <v>0.5</v>
      </c>
      <c r="BP4" s="161">
        <f>UNG.[[#This Row],[$ SITE]]</f>
        <v>118.03</v>
      </c>
      <c r="BQ4" s="162">
        <f>UNG.[[#This Row],[%  SGP]]</f>
        <v>0.55000000000000004</v>
      </c>
      <c r="BR4" s="161">
        <f>UNG.[[#This Row],[$ SGP]]</f>
        <v>106.22</v>
      </c>
      <c r="BS4" s="69" t="s">
        <v>351</v>
      </c>
      <c r="BT4" s="69" t="s">
        <v>372</v>
      </c>
      <c r="BV4" s="121" t="s">
        <v>77</v>
      </c>
      <c r="BW4" s="69" t="s">
        <v>19</v>
      </c>
      <c r="BX4" s="69" t="str">
        <f>VLOOKUP(UNINASSAU.[[#This Row],[CURSO]],'[1]POS_VIVO_0112 a 3101_CAMP. REG)'!$F$333:$G$447,2,FALSE)</f>
        <v>Educação</v>
      </c>
      <c r="BY4" s="68">
        <f>VLOOKUP(UNINASSAU.[[#This Row],[CURSO]],'[1]POS_VIVO_0112 a 3101_CAMP. REG)'!$F$333:$H$447,3,FALSE)</f>
        <v>12</v>
      </c>
      <c r="BZ4" s="68">
        <f>VLOOKUP(UNINASSAU.[[#This Row],[CURSO]],'[1]POS_VIVO_0112 a 3101_CAMP. REG)'!$F$333:$I$447,4,FALSE)</f>
        <v>19</v>
      </c>
      <c r="CA4" s="73">
        <f>VLOOKUP(UNINASSAU.[[#This Row],[CURSO]],'[1]POS_VIVO_0112 a 3101_CAMP. REG)'!$F$333:$J$447,5,FALSE)</f>
        <v>262.27804200000003</v>
      </c>
      <c r="CB4" s="123">
        <f>VLOOKUP(UNINASSAU.[[#This Row],[CURSO]],'[1]POS_VIVO_0112 a 3101_CAMP. REG)'!$F$333:$L$447,7,FALSE)</f>
        <v>0.5</v>
      </c>
      <c r="CC4" s="73">
        <f>VLOOKUP(UNINASSAU.[[#This Row],[CURSO]],'[1]POS_VIVO_0112 a 3101_CAMP. REG)'!$F$333:$M$447,8,FALSE)</f>
        <v>118.03</v>
      </c>
      <c r="CD4" s="123">
        <f>VLOOKUP(UNINASSAU.[[#This Row],[CURSO]],'[1]POS_VIVO_0112 a 3101_CAMP. REG)'!$F$333:$P$447,11,FALSE)</f>
        <v>0.55000000000000004</v>
      </c>
      <c r="CE4" s="73">
        <f>VLOOKUP(UNINASSAU.[[#This Row],[CURSO]],'[1]POS_VIVO_0112 a 3101_CAMP. REG)'!$F$333:$Q$447,12,FALSE)</f>
        <v>106.22</v>
      </c>
      <c r="CF4" s="68">
        <f>UNINASSAU.[[#This Row],[Nº Parcelas]]</f>
        <v>19</v>
      </c>
      <c r="CG4" s="68">
        <f>UNINASSAU.[[#This Row],[Nº Parcelas normal2]]-1</f>
        <v>18</v>
      </c>
      <c r="CH4" s="161">
        <f>UNINASSAU.[[#This Row],[$ NORMAL]]</f>
        <v>262.27804200000003</v>
      </c>
      <c r="CI4" s="162">
        <f>UNINASSAU.[[#This Row],[%  SITE]]</f>
        <v>0.5</v>
      </c>
      <c r="CJ4" s="161">
        <f>UNINASSAU.[[#This Row],[$ SITE]]</f>
        <v>118.03</v>
      </c>
      <c r="CK4" s="162">
        <f>UNINASSAU.[[#This Row],[%  SGP]]</f>
        <v>0.55000000000000004</v>
      </c>
      <c r="CL4" s="161">
        <f>UNINASSAU.[[#This Row],[$ SGP]]</f>
        <v>106.22</v>
      </c>
      <c r="CM4" s="69" t="s">
        <v>351</v>
      </c>
      <c r="CN4" s="69" t="s">
        <v>372</v>
      </c>
      <c r="CP4" s="104">
        <v>1</v>
      </c>
      <c r="CQ4" s="121" t="s">
        <v>365</v>
      </c>
      <c r="CR4" s="67"/>
      <c r="CT4" s="145">
        <v>1</v>
      </c>
      <c r="CU4" s="145" t="s">
        <v>255</v>
      </c>
    </row>
    <row r="5" spans="1:109" ht="13.5" customHeight="1" x14ac:dyDescent="0.25">
      <c r="A5" s="47"/>
      <c r="B5" s="17"/>
      <c r="C5" s="16"/>
      <c r="D5" s="16"/>
      <c r="E5" s="20"/>
      <c r="F5" s="20"/>
      <c r="G5" s="16"/>
      <c r="H5" s="16"/>
      <c r="I5" s="21"/>
      <c r="J5" s="1"/>
      <c r="K5" s="1"/>
      <c r="N5" s="121" t="s">
        <v>297</v>
      </c>
      <c r="O5" s="69" t="s">
        <v>19</v>
      </c>
      <c r="P5" s="69" t="str">
        <f>VLOOKUP(UNIFAEL.[[#This Row],[CURSO]],'[1]POS_VIVO_0112 a 3101_CAMP. REG)'!$F$5:$G$113,2,FALSE)</f>
        <v>Tecnologia/Engenharia</v>
      </c>
      <c r="Q5" s="68">
        <f>VLOOKUP(UNIFAEL.[[#This Row],[CURSO]],'[1]POS_VIVO_0112 a 3101_CAMP. REG)'!$F$5:$H$113,3,FALSE)</f>
        <v>12</v>
      </c>
      <c r="R5" s="68">
        <f>VLOOKUP(UNIFAEL.[[#This Row],[CURSO]],'[1]POS_VIVO_0112 a 3101_CAMP. REG)'!$F$5:$I$113,4,FALSE)</f>
        <v>19</v>
      </c>
      <c r="S5" s="73">
        <f>VLOOKUP(UNIFAEL.[[#This Row],[CURSO]],'[1]POS_VIVO_0112 a 3101_CAMP. REG)'!$F$5:$J$113,5,FALSE)</f>
        <v>320.59937400000007</v>
      </c>
      <c r="T5" s="124">
        <f>VLOOKUP(UNIFAEL.[[#This Row],[CURSO]],'[1]POS_VIVO_0112 a 3101_CAMP. REG)'!$F$5:$L$113,7,FALSE)</f>
        <v>0.3</v>
      </c>
      <c r="U5" s="73">
        <f>VLOOKUP(UNIFAEL.[[#This Row],[CURSO]],'[1]POS_VIVO_0112 a 3101_CAMP. REG)'!$F$5:$M$113,8,FALSE)</f>
        <v>201.98</v>
      </c>
      <c r="V5" s="72">
        <f>VLOOKUP(UNIFAEL.[[#This Row],[CURSO]],'[1]POS_VIVO_0112 a 3101_CAMP. REG)'!$F$5:$P$113,11,FALSE)</f>
        <v>0.35</v>
      </c>
      <c r="W5" s="73">
        <f>VLOOKUP(UNIFAEL.[[#This Row],[CURSO]],'[1]POS_VIVO_0112 a 3101_CAMP. REG)'!$F$5:$Q$113,12,FALSE)</f>
        <v>187.55</v>
      </c>
      <c r="X5" s="75">
        <f>UNIFAEL.[[#This Row],[Nº Parcelas]]</f>
        <v>19</v>
      </c>
      <c r="Y5" s="75">
        <f>UNIFAEL.[[#This Row],[Nº Parcelas normal2]]-1</f>
        <v>18</v>
      </c>
      <c r="Z5" s="73">
        <f>UNIFAEL.[[#This Row],[$ NORMAL]]</f>
        <v>320.59937400000007</v>
      </c>
      <c r="AA5" s="72">
        <f>UNIFAEL.[[#This Row],[%  SITE]]</f>
        <v>0.3</v>
      </c>
      <c r="AB5" s="73">
        <f>UNIFAEL.[[#This Row],[$ SITE]]</f>
        <v>201.98</v>
      </c>
      <c r="AC5" s="72">
        <f>UNIFAEL.[[#This Row],[%  SGP]]</f>
        <v>0.35</v>
      </c>
      <c r="AD5" s="73">
        <f>UNIFAEL.[[#This Row],[$ SGP]]</f>
        <v>187.55</v>
      </c>
      <c r="AE5" s="69" t="s">
        <v>371</v>
      </c>
      <c r="AF5" s="69" t="s">
        <v>372</v>
      </c>
      <c r="AH5" s="121" t="s">
        <v>297</v>
      </c>
      <c r="AI5" s="69" t="s">
        <v>19</v>
      </c>
      <c r="AJ5" s="69" t="str">
        <f>VLOOKUP(UNAMA.[[#This Row],[PARCELA MATRICULA NÃO PAGA]],'[1]POS_VIVO_0112 a 3101_CAMP. REG)'!$F$115:$G$222,2,FALSE)</f>
        <v>Tecnologia/Engenharia</v>
      </c>
      <c r="AK5" s="69">
        <f>VLOOKUP(UNAMA.[[#This Row],[PARCELA MATRICULA NÃO PAGA]],'[1]POS_VIVO_0112 a 3101_CAMP. REG)'!$F$115:$H$222,3,FALSE)</f>
        <v>12</v>
      </c>
      <c r="AL5" s="69">
        <f>VLOOKUP(UNAMA.[[#This Row],[PARCELA MATRICULA NÃO PAGA]],'[1]POS_VIVO_0112 a 3101_CAMP. REG)'!$F$115:$I$222,4,FALSE)</f>
        <v>19</v>
      </c>
      <c r="AM5" s="73">
        <f>VLOOKUP(UNAMA.[[#This Row],[PARCELA MATRICULA NÃO PAGA]],'[1]POS_VIVO_0112 a 3101_CAMP. REG)'!$F$115:$J$222,5,FALSE)</f>
        <v>352.66770900000006</v>
      </c>
      <c r="AN5" s="123">
        <f>VLOOKUP(UNAMA.[[#This Row],[PARCELA MATRICULA NÃO PAGA]],'[1]POS_VIVO_0112 a 3101_CAMP. REG)'!$F$115:$L$222,7,FALSE)</f>
        <v>0.3</v>
      </c>
      <c r="AO5" s="73">
        <f>VLOOKUP(UNAMA.[[#This Row],[PARCELA MATRICULA NÃO PAGA]],'[1]POS_VIVO_0112 a 3101_CAMP. REG)'!$F$115:$M$222,8,FALSE)</f>
        <v>222.18</v>
      </c>
      <c r="AP5" s="72">
        <f>VLOOKUP(UNAMA.[[#This Row],[PARCELA MATRICULA NÃO PAGA]],'[1]POS_VIVO_0112 a 3101_CAMP. REG)'!$F$115:$P$222,11,FALSE)</f>
        <v>0.35</v>
      </c>
      <c r="AQ5" s="73">
        <f>VLOOKUP(UNAMA.[[#This Row],[PARCELA MATRICULA NÃO PAGA]],'[1]POS_VIVO_0112 a 3101_CAMP. REG)'!$F$115:$Q$222,12,FALSE)</f>
        <v>206.31</v>
      </c>
      <c r="AR5" s="68">
        <f>UNAMA.[[#This Row],[Nº Parcelas]]</f>
        <v>19</v>
      </c>
      <c r="AS5" s="68">
        <f>UNAMA.[[#This Row],[Nº Parcelas normal2]]-1</f>
        <v>18</v>
      </c>
      <c r="AT5" s="71">
        <f>UNAMA.[[#This Row],[$ NORMAL]]</f>
        <v>352.66770900000006</v>
      </c>
      <c r="AU5" s="162">
        <f>UNAMA.[[#This Row],[%  SITE]]</f>
        <v>0.3</v>
      </c>
      <c r="AV5" s="161">
        <f>UNAMA.[[#This Row],[$ SITE]]</f>
        <v>222.18</v>
      </c>
      <c r="AW5" s="162">
        <f>UNAMA.[[#This Row],[%  SGP]]</f>
        <v>0.35</v>
      </c>
      <c r="AX5" s="161">
        <f>UNAMA.[[#This Row],[$ SGP]]</f>
        <v>206.31</v>
      </c>
      <c r="AY5" s="69" t="s">
        <v>351</v>
      </c>
      <c r="AZ5" s="69" t="s">
        <v>372</v>
      </c>
      <c r="BB5" s="121" t="s">
        <v>297</v>
      </c>
      <c r="BC5" s="69" t="s">
        <v>19</v>
      </c>
      <c r="BD5" s="69" t="str">
        <f>VLOOKUP(UNG.[[#This Row],[CURSO]],'[1]POS_VIVO_0112 a 3101_CAMP. REG)'!$F$224:$G$331,2,FALSE)</f>
        <v>Tecnologia/Engenharia</v>
      </c>
      <c r="BE5" s="68">
        <f>VLOOKUP(UNG.[[#This Row],[CURSO]],'[1]POS_VIVO_0112 a 3101_CAMP. REG)'!$F$224:$H$331,3,FALSE)</f>
        <v>12</v>
      </c>
      <c r="BF5" s="68">
        <f>VLOOKUP(UNG.[[#This Row],[CURSO]],'[1]POS_VIVO_0112 a 3101_CAMP. REG)'!$F$224:$I$331,4,FALSE)</f>
        <v>19</v>
      </c>
      <c r="BG5" s="73">
        <f>VLOOKUP(UNG.[[#This Row],[CURSO]],'[1]POS_VIVO_0112 a 3101_CAMP. REG)'!$F$224:$J$331,5,FALSE)</f>
        <v>320.59937400000007</v>
      </c>
      <c r="BH5" s="72">
        <f>VLOOKUP(UNG.[[#This Row],[CURSO]],'[1]POS_VIVO_0112 a 3101_CAMP. REG)'!$F$224:$L$331,7,FALSE)</f>
        <v>0.3</v>
      </c>
      <c r="BI5" s="73">
        <f>VLOOKUP(UNG.[[#This Row],[CURSO]],'[1]POS_VIVO_0112 a 3101_CAMP. REG)'!$F$224:$M$331,8,FALSE)</f>
        <v>201.98</v>
      </c>
      <c r="BJ5" s="72">
        <f>VLOOKUP(UNG.[[#This Row],[CURSO]],'[1]POS_VIVO_0112 a 3101_CAMP. REG)'!$F$224:$P$331,11,FALSE)</f>
        <v>0.35</v>
      </c>
      <c r="BK5" s="73">
        <f>VLOOKUP(UNG.[[#This Row],[CURSO]],'[1]POS_VIVO_0112 a 3101_CAMP. REG)'!$F$224:$Q$331,12,FALSE)</f>
        <v>187.55</v>
      </c>
      <c r="BL5" s="75">
        <f>UNG.[[#This Row],[Nº Parcelas]]</f>
        <v>19</v>
      </c>
      <c r="BM5" s="75">
        <f>UNG.[[#This Row],[Nº Parcelas normal2]]-1</f>
        <v>18</v>
      </c>
      <c r="BN5" s="73">
        <f>UNG.[[#This Row],[$ NORMAL]]</f>
        <v>320.59937400000007</v>
      </c>
      <c r="BO5" s="72">
        <f>UNG.[[#This Row],[%  SITE]]</f>
        <v>0.3</v>
      </c>
      <c r="BP5" s="73">
        <f>UNG.[[#This Row],[$ SITE]]</f>
        <v>201.98</v>
      </c>
      <c r="BQ5" s="72">
        <f>UNG.[[#This Row],[%  SGP]]</f>
        <v>0.35</v>
      </c>
      <c r="BR5" s="73">
        <f>UNG.[[#This Row],[$ SGP]]</f>
        <v>187.55</v>
      </c>
      <c r="BS5" s="69" t="s">
        <v>351</v>
      </c>
      <c r="BT5" s="69" t="s">
        <v>372</v>
      </c>
      <c r="BV5" s="121" t="s">
        <v>297</v>
      </c>
      <c r="BW5" s="69" t="s">
        <v>19</v>
      </c>
      <c r="BX5" s="69" t="str">
        <f>VLOOKUP(UNINASSAU.[[#This Row],[CURSO]],'[1]POS_VIVO_0112 a 3101_CAMP. REG)'!$F$333:$G$447,2,FALSE)</f>
        <v>Tecnologia/Engenharia</v>
      </c>
      <c r="BY5" s="68">
        <f>VLOOKUP(UNINASSAU.[[#This Row],[CURSO]],'[1]POS_VIVO_0112 a 3101_CAMP. REG)'!$F$333:$H$447,3,FALSE)</f>
        <v>12</v>
      </c>
      <c r="BZ5" s="68">
        <f>VLOOKUP(UNINASSAU.[[#This Row],[CURSO]],'[1]POS_VIVO_0112 a 3101_CAMP. REG)'!$F$333:$I$447,4,FALSE)</f>
        <v>19</v>
      </c>
      <c r="CA5" s="73">
        <f>VLOOKUP(UNINASSAU.[[#This Row],[CURSO]],'[1]POS_VIVO_0112 a 3101_CAMP. REG)'!$F$333:$J$447,5,FALSE)</f>
        <v>320.59937400000007</v>
      </c>
      <c r="CB5" s="72">
        <f>VLOOKUP(UNINASSAU.[[#This Row],[CURSO]],'[1]POS_VIVO_0112 a 3101_CAMP. REG)'!$F$333:$L$447,7,FALSE)</f>
        <v>0.3</v>
      </c>
      <c r="CC5" s="73">
        <f>VLOOKUP(UNINASSAU.[[#This Row],[CURSO]],'[1]POS_VIVO_0112 a 3101_CAMP. REG)'!$F$333:$M$447,8,FALSE)</f>
        <v>201.98</v>
      </c>
      <c r="CD5" s="72">
        <f>VLOOKUP(UNINASSAU.[[#This Row],[CURSO]],'[1]POS_VIVO_0112 a 3101_CAMP. REG)'!$F$333:$P$447,11,FALSE)</f>
        <v>0.35</v>
      </c>
      <c r="CE5" s="73">
        <f>VLOOKUP(UNINASSAU.[[#This Row],[CURSO]],'[1]POS_VIVO_0112 a 3101_CAMP. REG)'!$F$333:$Q$447,12,FALSE)</f>
        <v>187.55</v>
      </c>
      <c r="CF5" s="75">
        <f>UNINASSAU.[[#This Row],[Nº Parcelas]]</f>
        <v>19</v>
      </c>
      <c r="CG5" s="75">
        <f>UNINASSAU.[[#This Row],[Nº Parcelas normal2]]-1</f>
        <v>18</v>
      </c>
      <c r="CH5" s="73">
        <f>UNINASSAU.[[#This Row],[$ NORMAL]]</f>
        <v>320.59937400000007</v>
      </c>
      <c r="CI5" s="72">
        <f>UNINASSAU.[[#This Row],[%  SITE]]</f>
        <v>0.3</v>
      </c>
      <c r="CJ5" s="73">
        <f>UNINASSAU.[[#This Row],[$ SITE]]</f>
        <v>201.98</v>
      </c>
      <c r="CK5" s="72">
        <f>UNINASSAU.[[#This Row],[%  SGP]]</f>
        <v>0.35</v>
      </c>
      <c r="CL5" s="73">
        <f>UNINASSAU.[[#This Row],[$ SGP]]</f>
        <v>187.55</v>
      </c>
      <c r="CM5" s="69" t="s">
        <v>351</v>
      </c>
      <c r="CN5" s="69" t="s">
        <v>372</v>
      </c>
      <c r="CP5" s="104">
        <v>2</v>
      </c>
      <c r="CQ5" s="121" t="s">
        <v>39</v>
      </c>
      <c r="CR5" s="67"/>
      <c r="CT5" s="145">
        <v>2</v>
      </c>
      <c r="CU5" s="145" t="s">
        <v>256</v>
      </c>
    </row>
    <row r="6" spans="1:109" ht="30" customHeight="1" x14ac:dyDescent="0.25">
      <c r="A6" s="47"/>
      <c r="B6" s="17"/>
      <c r="C6" s="17"/>
      <c r="D6" s="173" t="s">
        <v>21</v>
      </c>
      <c r="E6" s="173"/>
      <c r="F6" s="173"/>
      <c r="G6" s="173"/>
      <c r="H6" s="173"/>
      <c r="I6" s="19"/>
      <c r="J6" s="1"/>
      <c r="K6" s="1"/>
      <c r="N6" s="121" t="s">
        <v>302</v>
      </c>
      <c r="O6" s="69" t="s">
        <v>19</v>
      </c>
      <c r="P6" s="69" t="str">
        <f>VLOOKUP(UNIFAEL.[[#This Row],[CURSO]],'[1]POS_VIVO_0112 a 3101_CAMP. REG)'!$F$5:$G$113,2,FALSE)</f>
        <v>Direito</v>
      </c>
      <c r="Q6" s="68">
        <f>VLOOKUP(UNIFAEL.[[#This Row],[CURSO]],'[1]POS_VIVO_0112 a 3101_CAMP. REG)'!$F$5:$H$113,3,FALSE)</f>
        <v>15</v>
      </c>
      <c r="R6" s="68">
        <f>VLOOKUP(UNIFAEL.[[#This Row],[CURSO]],'[1]POS_VIVO_0112 a 3101_CAMP. REG)'!$F$5:$I$113,4,FALSE)</f>
        <v>19</v>
      </c>
      <c r="S6" s="73">
        <f>VLOOKUP(UNIFAEL.[[#This Row],[CURSO]],'[1]POS_VIVO_0112 a 3101_CAMP. REG)'!$F$5:$J$113,5,FALSE)</f>
        <v>419.73304200000007</v>
      </c>
      <c r="T6" s="124">
        <f>VLOOKUP(UNIFAEL.[[#This Row],[CURSO]],'[1]POS_VIVO_0112 a 3101_CAMP. REG)'!$F$5:$L$113,7,FALSE)</f>
        <v>0.4</v>
      </c>
      <c r="U6" s="73">
        <f>VLOOKUP(UNIFAEL.[[#This Row],[CURSO]],'[1]POS_VIVO_0112 a 3101_CAMP. REG)'!$F$5:$M$113,8,FALSE)</f>
        <v>226.66</v>
      </c>
      <c r="V6" s="72">
        <f>VLOOKUP(UNIFAEL.[[#This Row],[CURSO]],'[1]POS_VIVO_0112 a 3101_CAMP. REG)'!$F$5:$P$113,11,FALSE)</f>
        <v>0.45</v>
      </c>
      <c r="W6" s="73">
        <f>VLOOKUP(UNIFAEL.[[#This Row],[CURSO]],'[1]POS_VIVO_0112 a 3101_CAMP. REG)'!$F$5:$Q$113,12,FALSE)</f>
        <v>207.77</v>
      </c>
      <c r="X6" s="75">
        <f>UNIFAEL.[[#This Row],[Nº Parcelas]]</f>
        <v>19</v>
      </c>
      <c r="Y6" s="75">
        <f>UNIFAEL.[[#This Row],[Nº Parcelas normal2]]-1</f>
        <v>18</v>
      </c>
      <c r="Z6" s="73">
        <f>UNIFAEL.[[#This Row],[$ NORMAL]]</f>
        <v>419.73304200000007</v>
      </c>
      <c r="AA6" s="72">
        <f>UNIFAEL.[[#This Row],[%  SITE]]</f>
        <v>0.4</v>
      </c>
      <c r="AB6" s="73">
        <f>UNIFAEL.[[#This Row],[$ SITE]]</f>
        <v>226.66</v>
      </c>
      <c r="AC6" s="72">
        <f>UNIFAEL.[[#This Row],[%  SGP]]</f>
        <v>0.45</v>
      </c>
      <c r="AD6" s="73">
        <f>UNIFAEL.[[#This Row],[$ SGP]]</f>
        <v>207.77</v>
      </c>
      <c r="AE6" s="69" t="s">
        <v>371</v>
      </c>
      <c r="AF6" s="69" t="s">
        <v>372</v>
      </c>
      <c r="AH6" s="121" t="s">
        <v>302</v>
      </c>
      <c r="AI6" s="69" t="s">
        <v>19</v>
      </c>
      <c r="AJ6" s="69" t="str">
        <f>VLOOKUP(UNAMA.[[#This Row],[PARCELA MATRICULA NÃO PAGA]],'[1]POS_VIVO_0112 a 3101_CAMP. REG)'!$F$115:$G$222,2,FALSE)</f>
        <v>Direito</v>
      </c>
      <c r="AK6" s="69">
        <f>VLOOKUP(UNAMA.[[#This Row],[PARCELA MATRICULA NÃO PAGA]],'[1]POS_VIVO_0112 a 3101_CAMP. REG)'!$F$115:$H$222,3,FALSE)</f>
        <v>15</v>
      </c>
      <c r="AL6" s="69">
        <f>VLOOKUP(UNAMA.[[#This Row],[PARCELA MATRICULA NÃO PAGA]],'[1]POS_VIVO_0112 a 3101_CAMP. REG)'!$F$115:$I$222,4,FALSE)</f>
        <v>19</v>
      </c>
      <c r="AM6" s="73">
        <f>VLOOKUP(UNAMA.[[#This Row],[PARCELA MATRICULA NÃO PAGA]],'[1]POS_VIVO_0112 a 3101_CAMP. REG)'!$F$115:$J$222,5,FALSE)</f>
        <v>419.73304200000007</v>
      </c>
      <c r="AN6" s="123">
        <f>VLOOKUP(UNAMA.[[#This Row],[PARCELA MATRICULA NÃO PAGA]],'[1]POS_VIVO_0112 a 3101_CAMP. REG)'!$F$115:$L$222,7,FALSE)</f>
        <v>0.4</v>
      </c>
      <c r="AO6" s="73">
        <f>VLOOKUP(UNAMA.[[#This Row],[PARCELA MATRICULA NÃO PAGA]],'[1]POS_VIVO_0112 a 3101_CAMP. REG)'!$F$115:$M$222,8,FALSE)</f>
        <v>226.66</v>
      </c>
      <c r="AP6" s="72">
        <f>VLOOKUP(UNAMA.[[#This Row],[PARCELA MATRICULA NÃO PAGA]],'[1]POS_VIVO_0112 a 3101_CAMP. REG)'!$F$115:$P$222,11,FALSE)</f>
        <v>0.45</v>
      </c>
      <c r="AQ6" s="73">
        <f>VLOOKUP(UNAMA.[[#This Row],[PARCELA MATRICULA NÃO PAGA]],'[1]POS_VIVO_0112 a 3101_CAMP. REG)'!$F$115:$Q$222,12,FALSE)</f>
        <v>207.77</v>
      </c>
      <c r="AR6" s="68">
        <f>UNAMA.[[#This Row],[Nº Parcelas]]</f>
        <v>19</v>
      </c>
      <c r="AS6" s="68">
        <f>UNAMA.[[#This Row],[Nº Parcelas normal2]]-1</f>
        <v>18</v>
      </c>
      <c r="AT6" s="71">
        <f>UNAMA.[[#This Row],[$ NORMAL]]</f>
        <v>419.73304200000007</v>
      </c>
      <c r="AU6" s="162">
        <f>UNAMA.[[#This Row],[%  SITE]]</f>
        <v>0.4</v>
      </c>
      <c r="AV6" s="161">
        <f>UNAMA.[[#This Row],[$ SITE]]</f>
        <v>226.66</v>
      </c>
      <c r="AW6" s="162">
        <f>UNAMA.[[#This Row],[%  SGP]]</f>
        <v>0.45</v>
      </c>
      <c r="AX6" s="161">
        <f>UNAMA.[[#This Row],[$ SGP]]</f>
        <v>207.77</v>
      </c>
      <c r="AY6" s="69" t="s">
        <v>351</v>
      </c>
      <c r="AZ6" s="69" t="s">
        <v>372</v>
      </c>
      <c r="BB6" s="121" t="s">
        <v>302</v>
      </c>
      <c r="BC6" s="69" t="s">
        <v>19</v>
      </c>
      <c r="BD6" s="69" t="str">
        <f>VLOOKUP(UNG.[[#This Row],[CURSO]],'[1]POS_VIVO_0112 a 3101_CAMP. REG)'!$F$224:$G$331,2,FALSE)</f>
        <v>Direito</v>
      </c>
      <c r="BE6" s="68">
        <f>VLOOKUP(UNG.[[#This Row],[CURSO]],'[1]POS_VIVO_0112 a 3101_CAMP. REG)'!$F$224:$H$331,3,FALSE)</f>
        <v>15</v>
      </c>
      <c r="BF6" s="68">
        <f>VLOOKUP(UNG.[[#This Row],[CURSO]],'[1]POS_VIVO_0112 a 3101_CAMP. REG)'!$F$224:$I$331,4,FALSE)</f>
        <v>19</v>
      </c>
      <c r="BG6" s="73">
        <f>VLOOKUP(UNG.[[#This Row],[CURSO]],'[1]POS_VIVO_0112 a 3101_CAMP. REG)'!$F$224:$J$331,5,FALSE)</f>
        <v>419.73304200000007</v>
      </c>
      <c r="BH6" s="72">
        <f>VLOOKUP(UNG.[[#This Row],[CURSO]],'[1]POS_VIVO_0112 a 3101_CAMP. REG)'!$F$224:$L$331,7,FALSE)</f>
        <v>0.4</v>
      </c>
      <c r="BI6" s="73">
        <f>VLOOKUP(UNG.[[#This Row],[CURSO]],'[1]POS_VIVO_0112 a 3101_CAMP. REG)'!$F$224:$M$331,8,FALSE)</f>
        <v>226.66</v>
      </c>
      <c r="BJ6" s="72">
        <f>VLOOKUP(UNG.[[#This Row],[CURSO]],'[1]POS_VIVO_0112 a 3101_CAMP. REG)'!$F$224:$P$331,11,FALSE)</f>
        <v>0.45</v>
      </c>
      <c r="BK6" s="73">
        <f>VLOOKUP(UNG.[[#This Row],[CURSO]],'[1]POS_VIVO_0112 a 3101_CAMP. REG)'!$F$224:$Q$331,12,FALSE)</f>
        <v>207.77</v>
      </c>
      <c r="BL6" s="75">
        <f>UNG.[[#This Row],[Nº Parcelas]]</f>
        <v>19</v>
      </c>
      <c r="BM6" s="75">
        <f>UNG.[[#This Row],[Nº Parcelas normal2]]-1</f>
        <v>18</v>
      </c>
      <c r="BN6" s="73">
        <f>UNG.[[#This Row],[$ NORMAL]]</f>
        <v>419.73304200000007</v>
      </c>
      <c r="BO6" s="72">
        <f>UNG.[[#This Row],[%  SITE]]</f>
        <v>0.4</v>
      </c>
      <c r="BP6" s="73">
        <f>UNG.[[#This Row],[$ SITE]]</f>
        <v>226.66</v>
      </c>
      <c r="BQ6" s="72">
        <f>UNG.[[#This Row],[%  SGP]]</f>
        <v>0.45</v>
      </c>
      <c r="BR6" s="73">
        <f>UNG.[[#This Row],[$ SGP]]</f>
        <v>207.77</v>
      </c>
      <c r="BS6" s="69" t="s">
        <v>351</v>
      </c>
      <c r="BT6" s="69" t="s">
        <v>372</v>
      </c>
      <c r="BV6" s="121" t="s">
        <v>302</v>
      </c>
      <c r="BW6" s="69" t="s">
        <v>19</v>
      </c>
      <c r="BX6" s="69" t="str">
        <f>VLOOKUP(UNINASSAU.[[#This Row],[CURSO]],'[1]POS_VIVO_0112 a 3101_CAMP. REG)'!$F$333:$G$447,2,FALSE)</f>
        <v>Direito</v>
      </c>
      <c r="BY6" s="68">
        <f>VLOOKUP(UNINASSAU.[[#This Row],[CURSO]],'[1]POS_VIVO_0112 a 3101_CAMP. REG)'!$F$333:$H$447,3,FALSE)</f>
        <v>15</v>
      </c>
      <c r="BZ6" s="68">
        <f>VLOOKUP(UNINASSAU.[[#This Row],[CURSO]],'[1]POS_VIVO_0112 a 3101_CAMP. REG)'!$F$333:$I$447,4,FALSE)</f>
        <v>19</v>
      </c>
      <c r="CA6" s="73">
        <f>VLOOKUP(UNINASSAU.[[#This Row],[CURSO]],'[1]POS_VIVO_0112 a 3101_CAMP. REG)'!$F$333:$J$447,5,FALSE)</f>
        <v>419.73304200000007</v>
      </c>
      <c r="CB6" s="72">
        <f>VLOOKUP(UNINASSAU.[[#This Row],[CURSO]],'[1]POS_VIVO_0112 a 3101_CAMP. REG)'!$F$333:$L$447,7,FALSE)</f>
        <v>0.4</v>
      </c>
      <c r="CC6" s="73">
        <f>VLOOKUP(UNINASSAU.[[#This Row],[CURSO]],'[1]POS_VIVO_0112 a 3101_CAMP. REG)'!$F$333:$M$447,8,FALSE)</f>
        <v>226.66</v>
      </c>
      <c r="CD6" s="72">
        <f>VLOOKUP(UNINASSAU.[[#This Row],[CURSO]],'[1]POS_VIVO_0112 a 3101_CAMP. REG)'!$F$333:$P$447,11,FALSE)</f>
        <v>0.45</v>
      </c>
      <c r="CE6" s="73">
        <f>VLOOKUP(UNINASSAU.[[#This Row],[CURSO]],'[1]POS_VIVO_0112 a 3101_CAMP. REG)'!$F$333:$Q$447,12,FALSE)</f>
        <v>207.77</v>
      </c>
      <c r="CF6" s="75">
        <f>UNINASSAU.[[#This Row],[Nº Parcelas]]</f>
        <v>19</v>
      </c>
      <c r="CG6" s="75">
        <f>UNINASSAU.[[#This Row],[Nº Parcelas normal2]]-1</f>
        <v>18</v>
      </c>
      <c r="CH6" s="73">
        <f>UNINASSAU.[[#This Row],[$ NORMAL]]</f>
        <v>419.73304200000007</v>
      </c>
      <c r="CI6" s="72">
        <f>UNINASSAU.[[#This Row],[%  SITE]]</f>
        <v>0.4</v>
      </c>
      <c r="CJ6" s="73">
        <f>UNINASSAU.[[#This Row],[$ SITE]]</f>
        <v>226.66</v>
      </c>
      <c r="CK6" s="72">
        <f>UNINASSAU.[[#This Row],[%  SGP]]</f>
        <v>0.45</v>
      </c>
      <c r="CL6" s="73">
        <f>UNINASSAU.[[#This Row],[$ SGP]]</f>
        <v>207.77</v>
      </c>
      <c r="CM6" s="69" t="s">
        <v>351</v>
      </c>
      <c r="CN6" s="69" t="s">
        <v>372</v>
      </c>
      <c r="CP6" s="104">
        <v>3</v>
      </c>
      <c r="CQ6" s="121" t="s">
        <v>40</v>
      </c>
      <c r="CR6" s="67"/>
      <c r="CT6" s="145">
        <v>3</v>
      </c>
      <c r="CU6" s="145" t="s">
        <v>258</v>
      </c>
    </row>
    <row r="7" spans="1:109" ht="6" customHeight="1" x14ac:dyDescent="0.25">
      <c r="A7" s="47"/>
      <c r="B7" s="17"/>
      <c r="C7" s="17"/>
      <c r="D7" s="17"/>
      <c r="E7" s="23"/>
      <c r="F7" s="24"/>
      <c r="G7" s="22"/>
      <c r="H7" s="22"/>
      <c r="I7" s="19"/>
      <c r="J7" s="1"/>
      <c r="K7" s="1"/>
      <c r="N7" s="121" t="s">
        <v>284</v>
      </c>
      <c r="O7" s="69" t="s">
        <v>19</v>
      </c>
      <c r="P7" s="69" t="str">
        <f>VLOOKUP(UNIFAEL.[[#This Row],[CURSO]],'[1]POS_VIVO_0112 a 3101_CAMP. REG)'!$F$5:$G$113,2,FALSE)</f>
        <v>Direito</v>
      </c>
      <c r="Q7" s="68">
        <f>VLOOKUP(UNIFAEL.[[#This Row],[CURSO]],'[1]POS_VIVO_0112 a 3101_CAMP. REG)'!$F$5:$H$113,3,FALSE)</f>
        <v>12</v>
      </c>
      <c r="R7" s="68">
        <f>VLOOKUP(UNIFAEL.[[#This Row],[CURSO]],'[1]POS_VIVO_0112 a 3101_CAMP. REG)'!$F$5:$I$113,4,FALSE)</f>
        <v>19</v>
      </c>
      <c r="S7" s="73">
        <f>VLOOKUP(UNIFAEL.[[#This Row],[CURSO]],'[1]POS_VIVO_0112 a 3101_CAMP. REG)'!$F$5:$J$113,5,FALSE)</f>
        <v>262.27804200000003</v>
      </c>
      <c r="T7" s="124">
        <f>VLOOKUP(UNIFAEL.[[#This Row],[CURSO]],'[1]POS_VIVO_0112 a 3101_CAMP. REG)'!$F$5:$L$113,7,FALSE)</f>
        <v>0.4</v>
      </c>
      <c r="U7" s="73">
        <f>VLOOKUP(UNIFAEL.[[#This Row],[CURSO]],'[1]POS_VIVO_0112 a 3101_CAMP. REG)'!$F$5:$M$113,8,FALSE)</f>
        <v>141.63</v>
      </c>
      <c r="V7" s="72">
        <f>VLOOKUP(UNIFAEL.[[#This Row],[CURSO]],'[1]POS_VIVO_0112 a 3101_CAMP. REG)'!$F$5:$P$113,11,FALSE)</f>
        <v>0.45</v>
      </c>
      <c r="W7" s="73">
        <f>VLOOKUP(UNIFAEL.[[#This Row],[CURSO]],'[1]POS_VIVO_0112 a 3101_CAMP. REG)'!$F$5:$Q$113,12,FALSE)</f>
        <v>129.83000000000001</v>
      </c>
      <c r="X7" s="75">
        <f>UNIFAEL.[[#This Row],[Nº Parcelas]]</f>
        <v>19</v>
      </c>
      <c r="Y7" s="75">
        <f>UNIFAEL.[[#This Row],[Nº Parcelas normal2]]-1</f>
        <v>18</v>
      </c>
      <c r="Z7" s="73">
        <f>UNIFAEL.[[#This Row],[$ NORMAL]]</f>
        <v>262.27804200000003</v>
      </c>
      <c r="AA7" s="72">
        <f>UNIFAEL.[[#This Row],[%  SITE]]</f>
        <v>0.4</v>
      </c>
      <c r="AB7" s="73">
        <f>UNIFAEL.[[#This Row],[$ SITE]]</f>
        <v>141.63</v>
      </c>
      <c r="AC7" s="72">
        <f>UNIFAEL.[[#This Row],[%  SGP]]</f>
        <v>0.45</v>
      </c>
      <c r="AD7" s="73">
        <f>UNIFAEL.[[#This Row],[$ SGP]]</f>
        <v>129.83000000000001</v>
      </c>
      <c r="AE7" s="69" t="s">
        <v>371</v>
      </c>
      <c r="AF7" s="69" t="s">
        <v>372</v>
      </c>
      <c r="AH7" s="121" t="s">
        <v>284</v>
      </c>
      <c r="AI7" s="69" t="s">
        <v>19</v>
      </c>
      <c r="AJ7" s="69" t="str">
        <f>VLOOKUP(UNAMA.[[#This Row],[PARCELA MATRICULA NÃO PAGA]],'[1]POS_VIVO_0112 a 3101_CAMP. REG)'!$F$115:$G$222,2,FALSE)</f>
        <v>Direito</v>
      </c>
      <c r="AK7" s="69">
        <f>VLOOKUP(UNAMA.[[#This Row],[PARCELA MATRICULA NÃO PAGA]],'[1]POS_VIVO_0112 a 3101_CAMP. REG)'!$F$115:$H$222,3,FALSE)</f>
        <v>12</v>
      </c>
      <c r="AL7" s="69">
        <f>VLOOKUP(UNAMA.[[#This Row],[PARCELA MATRICULA NÃO PAGA]],'[1]POS_VIVO_0112 a 3101_CAMP. REG)'!$F$115:$I$222,4,FALSE)</f>
        <v>19</v>
      </c>
      <c r="AM7" s="73">
        <f>VLOOKUP(UNAMA.[[#This Row],[PARCELA MATRICULA NÃO PAGA]],'[1]POS_VIVO_0112 a 3101_CAMP. REG)'!$F$115:$J$222,5,FALSE)</f>
        <v>291.43870800000002</v>
      </c>
      <c r="AN7" s="123">
        <f>VLOOKUP(UNAMA.[[#This Row],[PARCELA MATRICULA NÃO PAGA]],'[1]POS_VIVO_0112 a 3101_CAMP. REG)'!$F$115:$L$222,7,FALSE)</f>
        <v>0.4</v>
      </c>
      <c r="AO7" s="73">
        <f>VLOOKUP(UNAMA.[[#This Row],[PARCELA MATRICULA NÃO PAGA]],'[1]POS_VIVO_0112 a 3101_CAMP. REG)'!$F$115:$M$222,8,FALSE)</f>
        <v>157.38</v>
      </c>
      <c r="AP7" s="72">
        <f>VLOOKUP(UNAMA.[[#This Row],[PARCELA MATRICULA NÃO PAGA]],'[1]POS_VIVO_0112 a 3101_CAMP. REG)'!$F$115:$P$222,11,FALSE)</f>
        <v>0.45</v>
      </c>
      <c r="AQ7" s="73">
        <f>VLOOKUP(UNAMA.[[#This Row],[PARCELA MATRICULA NÃO PAGA]],'[1]POS_VIVO_0112 a 3101_CAMP. REG)'!$F$115:$Q$222,12,FALSE)</f>
        <v>144.26</v>
      </c>
      <c r="AR7" s="68">
        <f>UNAMA.[[#This Row],[Nº Parcelas]]</f>
        <v>19</v>
      </c>
      <c r="AS7" s="68">
        <f>UNAMA.[[#This Row],[Nº Parcelas normal2]]-1</f>
        <v>18</v>
      </c>
      <c r="AT7" s="71">
        <f>UNAMA.[[#This Row],[$ NORMAL]]</f>
        <v>291.43870800000002</v>
      </c>
      <c r="AU7" s="162">
        <f>UNAMA.[[#This Row],[%  SITE]]</f>
        <v>0.4</v>
      </c>
      <c r="AV7" s="161">
        <f>UNAMA.[[#This Row],[$ SITE]]</f>
        <v>157.38</v>
      </c>
      <c r="AW7" s="162">
        <f>UNAMA.[[#This Row],[%  SGP]]</f>
        <v>0.45</v>
      </c>
      <c r="AX7" s="161">
        <f>UNAMA.[[#This Row],[$ SGP]]</f>
        <v>144.26</v>
      </c>
      <c r="AY7" s="69" t="s">
        <v>351</v>
      </c>
      <c r="AZ7" s="69" t="s">
        <v>372</v>
      </c>
      <c r="BB7" s="121" t="s">
        <v>284</v>
      </c>
      <c r="BC7" s="69" t="s">
        <v>19</v>
      </c>
      <c r="BD7" s="69" t="str">
        <f>VLOOKUP(UNG.[[#This Row],[CURSO]],'[1]POS_VIVO_0112 a 3101_CAMP. REG)'!$F$224:$G$331,2,FALSE)</f>
        <v>Direito</v>
      </c>
      <c r="BE7" s="68">
        <f>VLOOKUP(UNG.[[#This Row],[CURSO]],'[1]POS_VIVO_0112 a 3101_CAMP. REG)'!$F$224:$H$331,3,FALSE)</f>
        <v>12</v>
      </c>
      <c r="BF7" s="68">
        <f>VLOOKUP(UNG.[[#This Row],[CURSO]],'[1]POS_VIVO_0112 a 3101_CAMP. REG)'!$F$224:$I$331,4,FALSE)</f>
        <v>19</v>
      </c>
      <c r="BG7" s="73">
        <f>VLOOKUP(UNG.[[#This Row],[CURSO]],'[1]POS_VIVO_0112 a 3101_CAMP. REG)'!$F$224:$J$331,5,FALSE)</f>
        <v>262.27804200000003</v>
      </c>
      <c r="BH7" s="72">
        <f>VLOOKUP(UNG.[[#This Row],[CURSO]],'[1]POS_VIVO_0112 a 3101_CAMP. REG)'!$F$224:$L$331,7,FALSE)</f>
        <v>0.4</v>
      </c>
      <c r="BI7" s="73">
        <f>VLOOKUP(UNG.[[#This Row],[CURSO]],'[1]POS_VIVO_0112 a 3101_CAMP. REG)'!$F$224:$M$331,8,FALSE)</f>
        <v>141.63</v>
      </c>
      <c r="BJ7" s="72">
        <f>VLOOKUP(UNG.[[#This Row],[CURSO]],'[1]POS_VIVO_0112 a 3101_CAMP. REG)'!$F$224:$P$331,11,FALSE)</f>
        <v>0.45</v>
      </c>
      <c r="BK7" s="73">
        <f>VLOOKUP(UNG.[[#This Row],[CURSO]],'[1]POS_VIVO_0112 a 3101_CAMP. REG)'!$F$224:$Q$331,12,FALSE)</f>
        <v>129.83000000000001</v>
      </c>
      <c r="BL7" s="75">
        <f>UNG.[[#This Row],[Nº Parcelas]]</f>
        <v>19</v>
      </c>
      <c r="BM7" s="75">
        <f>UNG.[[#This Row],[Nº Parcelas normal2]]-1</f>
        <v>18</v>
      </c>
      <c r="BN7" s="73">
        <f>UNG.[[#This Row],[$ NORMAL]]</f>
        <v>262.27804200000003</v>
      </c>
      <c r="BO7" s="72">
        <f>UNG.[[#This Row],[%  SITE]]</f>
        <v>0.4</v>
      </c>
      <c r="BP7" s="73">
        <f>UNG.[[#This Row],[$ SITE]]</f>
        <v>141.63</v>
      </c>
      <c r="BQ7" s="72">
        <f>UNG.[[#This Row],[%  SGP]]</f>
        <v>0.45</v>
      </c>
      <c r="BR7" s="73">
        <f>UNG.[[#This Row],[$ SGP]]</f>
        <v>129.83000000000001</v>
      </c>
      <c r="BS7" s="69" t="s">
        <v>351</v>
      </c>
      <c r="BT7" s="69" t="s">
        <v>372</v>
      </c>
      <c r="BV7" s="121" t="s">
        <v>284</v>
      </c>
      <c r="BW7" s="69" t="s">
        <v>19</v>
      </c>
      <c r="BX7" s="69" t="str">
        <f>VLOOKUP(UNINASSAU.[[#This Row],[CURSO]],'[1]POS_VIVO_0112 a 3101_CAMP. REG)'!$F$333:$G$447,2,FALSE)</f>
        <v>Direito</v>
      </c>
      <c r="BY7" s="68">
        <f>VLOOKUP(UNINASSAU.[[#This Row],[CURSO]],'[1]POS_VIVO_0112 a 3101_CAMP. REG)'!$F$333:$H$447,3,FALSE)</f>
        <v>12</v>
      </c>
      <c r="BZ7" s="68">
        <f>VLOOKUP(UNINASSAU.[[#This Row],[CURSO]],'[1]POS_VIVO_0112 a 3101_CAMP. REG)'!$F$333:$I$447,4,FALSE)</f>
        <v>19</v>
      </c>
      <c r="CA7" s="73">
        <f>VLOOKUP(UNINASSAU.[[#This Row],[CURSO]],'[1]POS_VIVO_0112 a 3101_CAMP. REG)'!$F$333:$J$447,5,FALSE)</f>
        <v>262.27804200000003</v>
      </c>
      <c r="CB7" s="72">
        <f>VLOOKUP(UNINASSAU.[[#This Row],[CURSO]],'[1]POS_VIVO_0112 a 3101_CAMP. REG)'!$F$333:$L$447,7,FALSE)</f>
        <v>0.4</v>
      </c>
      <c r="CC7" s="73">
        <f>VLOOKUP(UNINASSAU.[[#This Row],[CURSO]],'[1]POS_VIVO_0112 a 3101_CAMP. REG)'!$F$333:$M$447,8,FALSE)</f>
        <v>141.63</v>
      </c>
      <c r="CD7" s="72">
        <f>VLOOKUP(UNINASSAU.[[#This Row],[CURSO]],'[1]POS_VIVO_0112 a 3101_CAMP. REG)'!$F$333:$P$447,11,FALSE)</f>
        <v>0.45</v>
      </c>
      <c r="CE7" s="73">
        <f>VLOOKUP(UNINASSAU.[[#This Row],[CURSO]],'[1]POS_VIVO_0112 a 3101_CAMP. REG)'!$F$333:$Q$447,12,FALSE)</f>
        <v>129.83000000000001</v>
      </c>
      <c r="CF7" s="75">
        <f>UNINASSAU.[[#This Row],[Nº Parcelas]]</f>
        <v>19</v>
      </c>
      <c r="CG7" s="75">
        <f>UNINASSAU.[[#This Row],[Nº Parcelas normal2]]-1</f>
        <v>18</v>
      </c>
      <c r="CH7" s="73">
        <f>UNINASSAU.[[#This Row],[$ NORMAL]]</f>
        <v>262.27804200000003</v>
      </c>
      <c r="CI7" s="72">
        <f>UNINASSAU.[[#This Row],[%  SITE]]</f>
        <v>0.4</v>
      </c>
      <c r="CJ7" s="73">
        <f>UNINASSAU.[[#This Row],[$ SITE]]</f>
        <v>141.63</v>
      </c>
      <c r="CK7" s="72">
        <f>UNINASSAU.[[#This Row],[%  SGP]]</f>
        <v>0.45</v>
      </c>
      <c r="CL7" s="73">
        <f>UNINASSAU.[[#This Row],[$ SGP]]</f>
        <v>129.83000000000001</v>
      </c>
      <c r="CM7" s="69" t="s">
        <v>351</v>
      </c>
      <c r="CN7" s="69" t="s">
        <v>372</v>
      </c>
      <c r="CP7" s="104">
        <v>4</v>
      </c>
      <c r="CQ7" s="121" t="s">
        <v>257</v>
      </c>
      <c r="CR7" s="67"/>
      <c r="CT7" s="145">
        <v>4</v>
      </c>
      <c r="CU7" s="145" t="s">
        <v>260</v>
      </c>
    </row>
    <row r="8" spans="1:109" ht="30" customHeight="1" x14ac:dyDescent="0.25">
      <c r="A8" s="47"/>
      <c r="B8" s="17"/>
      <c r="C8" s="17"/>
      <c r="D8" s="173" t="s">
        <v>22</v>
      </c>
      <c r="E8" s="173"/>
      <c r="F8" s="173"/>
      <c r="G8" s="173"/>
      <c r="H8" s="173"/>
      <c r="I8" s="19"/>
      <c r="J8" s="1"/>
      <c r="K8" s="1"/>
      <c r="N8" s="121" t="s">
        <v>273</v>
      </c>
      <c r="O8" s="69" t="s">
        <v>19</v>
      </c>
      <c r="P8" s="69" t="str">
        <f>VLOOKUP(UNIFAEL.[[#This Row],[CURSO]],'[1]POS_VIVO_0112 a 3101_CAMP. REG)'!$F$5:$G$113,2,FALSE)</f>
        <v>Direito</v>
      </c>
      <c r="Q8" s="68">
        <f>VLOOKUP(UNIFAEL.[[#This Row],[CURSO]],'[1]POS_VIVO_0112 a 3101_CAMP. REG)'!$F$5:$H$113,3,FALSE)</f>
        <v>12</v>
      </c>
      <c r="R8" s="68">
        <f>VLOOKUP(UNIFAEL.[[#This Row],[CURSO]],'[1]POS_VIVO_0112 a 3101_CAMP. REG)'!$F$5:$I$113,4,FALSE)</f>
        <v>19</v>
      </c>
      <c r="S8" s="73">
        <f>VLOOKUP(UNIFAEL.[[#This Row],[CURSO]],'[1]POS_VIVO_0112 a 3101_CAMP. REG)'!$F$5:$J$113,5,FALSE)</f>
        <v>262.27804200000003</v>
      </c>
      <c r="T8" s="124">
        <f>VLOOKUP(UNIFAEL.[[#This Row],[CURSO]],'[1]POS_VIVO_0112 a 3101_CAMP. REG)'!$F$5:$L$113,7,FALSE)</f>
        <v>0.3</v>
      </c>
      <c r="U8" s="73">
        <f>VLOOKUP(UNIFAEL.[[#This Row],[CURSO]],'[1]POS_VIVO_0112 a 3101_CAMP. REG)'!$F$5:$M$113,8,FALSE)</f>
        <v>165.24</v>
      </c>
      <c r="V8" s="72">
        <f>VLOOKUP(UNIFAEL.[[#This Row],[CURSO]],'[1]POS_VIVO_0112 a 3101_CAMP. REG)'!$F$5:$P$113,11,FALSE)</f>
        <v>0.35</v>
      </c>
      <c r="W8" s="73">
        <f>VLOOKUP(UNIFAEL.[[#This Row],[CURSO]],'[1]POS_VIVO_0112 a 3101_CAMP. REG)'!$F$5:$Q$113,12,FALSE)</f>
        <v>153.43</v>
      </c>
      <c r="X8" s="75">
        <f>UNIFAEL.[[#This Row],[Nº Parcelas]]</f>
        <v>19</v>
      </c>
      <c r="Y8" s="75">
        <f>UNIFAEL.[[#This Row],[Nº Parcelas normal2]]-1</f>
        <v>18</v>
      </c>
      <c r="Z8" s="73">
        <f>UNIFAEL.[[#This Row],[$ NORMAL]]</f>
        <v>262.27804200000003</v>
      </c>
      <c r="AA8" s="72">
        <f>UNIFAEL.[[#This Row],[%  SITE]]</f>
        <v>0.3</v>
      </c>
      <c r="AB8" s="73">
        <f>UNIFAEL.[[#This Row],[$ SITE]]</f>
        <v>165.24</v>
      </c>
      <c r="AC8" s="72">
        <f>UNIFAEL.[[#This Row],[%  SGP]]</f>
        <v>0.35</v>
      </c>
      <c r="AD8" s="73">
        <f>UNIFAEL.[[#This Row],[$ SGP]]</f>
        <v>153.43</v>
      </c>
      <c r="AE8" s="69" t="s">
        <v>371</v>
      </c>
      <c r="AF8" s="69" t="s">
        <v>372</v>
      </c>
      <c r="AH8" s="121" t="s">
        <v>273</v>
      </c>
      <c r="AI8" s="69" t="s">
        <v>19</v>
      </c>
      <c r="AJ8" s="69" t="str">
        <f>VLOOKUP(UNAMA.[[#This Row],[PARCELA MATRICULA NÃO PAGA]],'[1]POS_VIVO_0112 a 3101_CAMP. REG)'!$F$115:$G$222,2,FALSE)</f>
        <v>Direito</v>
      </c>
      <c r="AK8" s="69">
        <f>VLOOKUP(UNAMA.[[#This Row],[PARCELA MATRICULA NÃO PAGA]],'[1]POS_VIVO_0112 a 3101_CAMP. REG)'!$F$115:$H$222,3,FALSE)</f>
        <v>12</v>
      </c>
      <c r="AL8" s="69">
        <f>VLOOKUP(UNAMA.[[#This Row],[PARCELA MATRICULA NÃO PAGA]],'[1]POS_VIVO_0112 a 3101_CAMP. REG)'!$F$115:$I$222,4,FALSE)</f>
        <v>19</v>
      </c>
      <c r="AM8" s="73">
        <f>VLOOKUP(UNAMA.[[#This Row],[PARCELA MATRICULA NÃO PAGA]],'[1]POS_VIVO_0112 a 3101_CAMP. REG)'!$F$115:$J$222,5,FALSE)</f>
        <v>291.43870800000002</v>
      </c>
      <c r="AN8" s="123">
        <f>VLOOKUP(UNAMA.[[#This Row],[PARCELA MATRICULA NÃO PAGA]],'[1]POS_VIVO_0112 a 3101_CAMP. REG)'!$F$115:$L$222,7,FALSE)</f>
        <v>0.3</v>
      </c>
      <c r="AO8" s="73">
        <f>VLOOKUP(UNAMA.[[#This Row],[PARCELA MATRICULA NÃO PAGA]],'[1]POS_VIVO_0112 a 3101_CAMP. REG)'!$F$115:$M$222,8,FALSE)</f>
        <v>183.61</v>
      </c>
      <c r="AP8" s="72">
        <f>VLOOKUP(UNAMA.[[#This Row],[PARCELA MATRICULA NÃO PAGA]],'[1]POS_VIVO_0112 a 3101_CAMP. REG)'!$F$115:$P$222,11,FALSE)</f>
        <v>0.35</v>
      </c>
      <c r="AQ8" s="73">
        <f>VLOOKUP(UNAMA.[[#This Row],[PARCELA MATRICULA NÃO PAGA]],'[1]POS_VIVO_0112 a 3101_CAMP. REG)'!$F$115:$Q$222,12,FALSE)</f>
        <v>170.49</v>
      </c>
      <c r="AR8" s="68">
        <f>UNAMA.[[#This Row],[Nº Parcelas]]</f>
        <v>19</v>
      </c>
      <c r="AS8" s="68">
        <f>UNAMA.[[#This Row],[Nº Parcelas normal2]]-1</f>
        <v>18</v>
      </c>
      <c r="AT8" s="71">
        <f>UNAMA.[[#This Row],[$ NORMAL]]</f>
        <v>291.43870800000002</v>
      </c>
      <c r="AU8" s="162">
        <f>UNAMA.[[#This Row],[%  SITE]]</f>
        <v>0.3</v>
      </c>
      <c r="AV8" s="161">
        <f>UNAMA.[[#This Row],[$ SITE]]</f>
        <v>183.61</v>
      </c>
      <c r="AW8" s="162">
        <f>UNAMA.[[#This Row],[%  SGP]]</f>
        <v>0.35</v>
      </c>
      <c r="AX8" s="161">
        <f>UNAMA.[[#This Row],[$ SGP]]</f>
        <v>170.49</v>
      </c>
      <c r="AY8" s="69" t="s">
        <v>351</v>
      </c>
      <c r="AZ8" s="69" t="s">
        <v>372</v>
      </c>
      <c r="BB8" s="121" t="s">
        <v>273</v>
      </c>
      <c r="BC8" s="69" t="s">
        <v>19</v>
      </c>
      <c r="BD8" s="69" t="str">
        <f>VLOOKUP(UNG.[[#This Row],[CURSO]],'[1]POS_VIVO_0112 a 3101_CAMP. REG)'!$F$224:$G$331,2,FALSE)</f>
        <v>Direito</v>
      </c>
      <c r="BE8" s="68">
        <f>VLOOKUP(UNG.[[#This Row],[CURSO]],'[1]POS_VIVO_0112 a 3101_CAMP. REG)'!$F$224:$H$331,3,FALSE)</f>
        <v>12</v>
      </c>
      <c r="BF8" s="68">
        <f>VLOOKUP(UNG.[[#This Row],[CURSO]],'[1]POS_VIVO_0112 a 3101_CAMP. REG)'!$F$224:$I$331,4,FALSE)</f>
        <v>19</v>
      </c>
      <c r="BG8" s="73">
        <f>VLOOKUP(UNG.[[#This Row],[CURSO]],'[1]POS_VIVO_0112 a 3101_CAMP. REG)'!$F$224:$J$331,5,FALSE)</f>
        <v>262.27804200000003</v>
      </c>
      <c r="BH8" s="72">
        <f>VLOOKUP(UNG.[[#This Row],[CURSO]],'[1]POS_VIVO_0112 a 3101_CAMP. REG)'!$F$224:$L$331,7,FALSE)</f>
        <v>0.3</v>
      </c>
      <c r="BI8" s="73">
        <f>VLOOKUP(UNG.[[#This Row],[CURSO]],'[1]POS_VIVO_0112 a 3101_CAMP. REG)'!$F$224:$M$331,8,FALSE)</f>
        <v>165.24</v>
      </c>
      <c r="BJ8" s="72">
        <f>VLOOKUP(UNG.[[#This Row],[CURSO]],'[1]POS_VIVO_0112 a 3101_CAMP. REG)'!$F$224:$P$331,11,FALSE)</f>
        <v>0.35</v>
      </c>
      <c r="BK8" s="73">
        <f>VLOOKUP(UNG.[[#This Row],[CURSO]],'[1]POS_VIVO_0112 a 3101_CAMP. REG)'!$F$224:$Q$331,12,FALSE)</f>
        <v>153.43</v>
      </c>
      <c r="BL8" s="75">
        <f>UNG.[[#This Row],[Nº Parcelas]]</f>
        <v>19</v>
      </c>
      <c r="BM8" s="75">
        <f>UNG.[[#This Row],[Nº Parcelas normal2]]-1</f>
        <v>18</v>
      </c>
      <c r="BN8" s="73">
        <f>UNG.[[#This Row],[$ NORMAL]]</f>
        <v>262.27804200000003</v>
      </c>
      <c r="BO8" s="72">
        <f>UNG.[[#This Row],[%  SITE]]</f>
        <v>0.3</v>
      </c>
      <c r="BP8" s="73">
        <f>UNG.[[#This Row],[$ SITE]]</f>
        <v>165.24</v>
      </c>
      <c r="BQ8" s="72">
        <f>UNG.[[#This Row],[%  SGP]]</f>
        <v>0.35</v>
      </c>
      <c r="BR8" s="73">
        <f>UNG.[[#This Row],[$ SGP]]</f>
        <v>153.43</v>
      </c>
      <c r="BS8" s="69" t="s">
        <v>351</v>
      </c>
      <c r="BT8" s="69" t="s">
        <v>372</v>
      </c>
      <c r="BV8" s="121" t="s">
        <v>273</v>
      </c>
      <c r="BW8" s="69" t="s">
        <v>19</v>
      </c>
      <c r="BX8" s="69" t="str">
        <f>VLOOKUP(UNINASSAU.[[#This Row],[CURSO]],'[1]POS_VIVO_0112 a 3101_CAMP. REG)'!$F$333:$G$447,2,FALSE)</f>
        <v>Direito</v>
      </c>
      <c r="BY8" s="68">
        <f>VLOOKUP(UNINASSAU.[[#This Row],[CURSO]],'[1]POS_VIVO_0112 a 3101_CAMP. REG)'!$F$333:$H$447,3,FALSE)</f>
        <v>12</v>
      </c>
      <c r="BZ8" s="68">
        <f>VLOOKUP(UNINASSAU.[[#This Row],[CURSO]],'[1]POS_VIVO_0112 a 3101_CAMP. REG)'!$F$333:$I$447,4,FALSE)</f>
        <v>19</v>
      </c>
      <c r="CA8" s="73">
        <f>VLOOKUP(UNINASSAU.[[#This Row],[CURSO]],'[1]POS_VIVO_0112 a 3101_CAMP. REG)'!$F$333:$J$447,5,FALSE)</f>
        <v>262.27804200000003</v>
      </c>
      <c r="CB8" s="72">
        <f>VLOOKUP(UNINASSAU.[[#This Row],[CURSO]],'[1]POS_VIVO_0112 a 3101_CAMP. REG)'!$F$333:$L$447,7,FALSE)</f>
        <v>0.3</v>
      </c>
      <c r="CC8" s="73">
        <f>VLOOKUP(UNINASSAU.[[#This Row],[CURSO]],'[1]POS_VIVO_0112 a 3101_CAMP. REG)'!$F$333:$M$447,8,FALSE)</f>
        <v>165.24</v>
      </c>
      <c r="CD8" s="72">
        <f>VLOOKUP(UNINASSAU.[[#This Row],[CURSO]],'[1]POS_VIVO_0112 a 3101_CAMP. REG)'!$F$333:$P$447,11,FALSE)</f>
        <v>0.35</v>
      </c>
      <c r="CE8" s="73">
        <f>VLOOKUP(UNINASSAU.[[#This Row],[CURSO]],'[1]POS_VIVO_0112 a 3101_CAMP. REG)'!$F$333:$Q$447,12,FALSE)</f>
        <v>153.43</v>
      </c>
      <c r="CF8" s="75">
        <f>UNINASSAU.[[#This Row],[Nº Parcelas]]</f>
        <v>19</v>
      </c>
      <c r="CG8" s="75">
        <f>UNINASSAU.[[#This Row],[Nº Parcelas normal2]]-1</f>
        <v>18</v>
      </c>
      <c r="CH8" s="73">
        <f>UNINASSAU.[[#This Row],[$ NORMAL]]</f>
        <v>262.27804200000003</v>
      </c>
      <c r="CI8" s="72">
        <f>UNINASSAU.[[#This Row],[%  SITE]]</f>
        <v>0.3</v>
      </c>
      <c r="CJ8" s="73">
        <f>UNINASSAU.[[#This Row],[$ SITE]]</f>
        <v>165.24</v>
      </c>
      <c r="CK8" s="72">
        <f>UNINASSAU.[[#This Row],[%  SGP]]</f>
        <v>0.35</v>
      </c>
      <c r="CL8" s="73">
        <f>UNINASSAU.[[#This Row],[$ SGP]]</f>
        <v>153.43</v>
      </c>
      <c r="CM8" s="69" t="s">
        <v>351</v>
      </c>
      <c r="CN8" s="69" t="s">
        <v>372</v>
      </c>
      <c r="CP8" s="104">
        <v>5</v>
      </c>
      <c r="CQ8" s="121" t="s">
        <v>259</v>
      </c>
      <c r="CR8" s="67"/>
    </row>
    <row r="9" spans="1:109" ht="6" customHeight="1" x14ac:dyDescent="0.25">
      <c r="A9" s="47"/>
      <c r="B9" s="17"/>
      <c r="C9" s="17"/>
      <c r="D9" s="17"/>
      <c r="E9" s="17"/>
      <c r="F9" s="28"/>
      <c r="G9" s="28"/>
      <c r="H9" s="17"/>
      <c r="I9" s="19"/>
      <c r="J9" s="1"/>
      <c r="K9" s="1"/>
      <c r="N9" s="121" t="s">
        <v>272</v>
      </c>
      <c r="O9" s="69" t="s">
        <v>19</v>
      </c>
      <c r="P9" s="69" t="str">
        <f>VLOOKUP(UNIFAEL.[[#This Row],[CURSO]],'[1]POS_VIVO_0112 a 3101_CAMP. REG)'!$F$5:$G$113,2,FALSE)</f>
        <v>Direito</v>
      </c>
      <c r="Q9" s="68">
        <f>VLOOKUP(UNIFAEL.[[#This Row],[CURSO]],'[1]POS_VIVO_0112 a 3101_CAMP. REG)'!$F$5:$H$113,3,FALSE)</f>
        <v>12</v>
      </c>
      <c r="R9" s="68">
        <f>VLOOKUP(UNIFAEL.[[#This Row],[CURSO]],'[1]POS_VIVO_0112 a 3101_CAMP. REG)'!$F$5:$I$113,4,FALSE)</f>
        <v>19</v>
      </c>
      <c r="S9" s="73">
        <f>VLOOKUP(UNIFAEL.[[#This Row],[CURSO]],'[1]POS_VIVO_0112 a 3101_CAMP. REG)'!$F$5:$J$113,5,FALSE)</f>
        <v>262.27804200000003</v>
      </c>
      <c r="T9" s="124">
        <f>VLOOKUP(UNIFAEL.[[#This Row],[CURSO]],'[1]POS_VIVO_0112 a 3101_CAMP. REG)'!$F$5:$L$113,7,FALSE)</f>
        <v>0.5</v>
      </c>
      <c r="U9" s="73">
        <f>VLOOKUP(UNIFAEL.[[#This Row],[CURSO]],'[1]POS_VIVO_0112 a 3101_CAMP. REG)'!$F$5:$M$113,8,FALSE)</f>
        <v>118.03</v>
      </c>
      <c r="V9" s="72">
        <f>VLOOKUP(UNIFAEL.[[#This Row],[CURSO]],'[1]POS_VIVO_0112 a 3101_CAMP. REG)'!$F$5:$P$113,11,FALSE)</f>
        <v>0.55000000000000004</v>
      </c>
      <c r="W9" s="73">
        <f>VLOOKUP(UNIFAEL.[[#This Row],[CURSO]],'[1]POS_VIVO_0112 a 3101_CAMP. REG)'!$F$5:$Q$113,12,FALSE)</f>
        <v>106.22</v>
      </c>
      <c r="X9" s="75">
        <f>UNIFAEL.[[#This Row],[Nº Parcelas]]</f>
        <v>19</v>
      </c>
      <c r="Y9" s="75">
        <f>UNIFAEL.[[#This Row],[Nº Parcelas normal2]]-1</f>
        <v>18</v>
      </c>
      <c r="Z9" s="73">
        <f>UNIFAEL.[[#This Row],[$ NORMAL]]</f>
        <v>262.27804200000003</v>
      </c>
      <c r="AA9" s="72">
        <f>UNIFAEL.[[#This Row],[%  SITE]]</f>
        <v>0.5</v>
      </c>
      <c r="AB9" s="73">
        <f>UNIFAEL.[[#This Row],[$ SITE]]</f>
        <v>118.03</v>
      </c>
      <c r="AC9" s="72">
        <f>UNIFAEL.[[#This Row],[%  SGP]]</f>
        <v>0.55000000000000004</v>
      </c>
      <c r="AD9" s="73">
        <f>UNIFAEL.[[#This Row],[$ SGP]]</f>
        <v>106.22</v>
      </c>
      <c r="AE9" s="69" t="s">
        <v>371</v>
      </c>
      <c r="AF9" s="69" t="s">
        <v>372</v>
      </c>
      <c r="AH9" s="121" t="s">
        <v>272</v>
      </c>
      <c r="AI9" s="69" t="s">
        <v>19</v>
      </c>
      <c r="AJ9" s="69" t="str">
        <f>VLOOKUP(UNAMA.[[#This Row],[PARCELA MATRICULA NÃO PAGA]],'[1]POS_VIVO_0112 a 3101_CAMP. REG)'!$F$115:$G$222,2,FALSE)</f>
        <v>Direito</v>
      </c>
      <c r="AK9" s="69">
        <f>VLOOKUP(UNAMA.[[#This Row],[PARCELA MATRICULA NÃO PAGA]],'[1]POS_VIVO_0112 a 3101_CAMP. REG)'!$F$115:$H$222,3,FALSE)</f>
        <v>12</v>
      </c>
      <c r="AL9" s="69">
        <f>VLOOKUP(UNAMA.[[#This Row],[PARCELA MATRICULA NÃO PAGA]],'[1]POS_VIVO_0112 a 3101_CAMP. REG)'!$F$115:$I$222,4,FALSE)</f>
        <v>19</v>
      </c>
      <c r="AM9" s="73">
        <f>VLOOKUP(UNAMA.[[#This Row],[PARCELA MATRICULA NÃO PAGA]],'[1]POS_VIVO_0112 a 3101_CAMP. REG)'!$F$115:$J$222,5,FALSE)</f>
        <v>291.43870800000002</v>
      </c>
      <c r="AN9" s="123">
        <f>VLOOKUP(UNAMA.[[#This Row],[PARCELA MATRICULA NÃO PAGA]],'[1]POS_VIVO_0112 a 3101_CAMP. REG)'!$F$115:$L$222,7,FALSE)</f>
        <v>0.5</v>
      </c>
      <c r="AO9" s="73">
        <f>VLOOKUP(UNAMA.[[#This Row],[PARCELA MATRICULA NÃO PAGA]],'[1]POS_VIVO_0112 a 3101_CAMP. REG)'!$F$115:$M$222,8,FALSE)</f>
        <v>131.15</v>
      </c>
      <c r="AP9" s="72">
        <f>VLOOKUP(UNAMA.[[#This Row],[PARCELA MATRICULA NÃO PAGA]],'[1]POS_VIVO_0112 a 3101_CAMP. REG)'!$F$115:$P$222,11,FALSE)</f>
        <v>0.55000000000000004</v>
      </c>
      <c r="AQ9" s="73">
        <f>VLOOKUP(UNAMA.[[#This Row],[PARCELA MATRICULA NÃO PAGA]],'[1]POS_VIVO_0112 a 3101_CAMP. REG)'!$F$115:$Q$222,12,FALSE)</f>
        <v>118.03</v>
      </c>
      <c r="AR9" s="68">
        <f>UNAMA.[[#This Row],[Nº Parcelas]]</f>
        <v>19</v>
      </c>
      <c r="AS9" s="68">
        <f>UNAMA.[[#This Row],[Nº Parcelas normal2]]-1</f>
        <v>18</v>
      </c>
      <c r="AT9" s="71">
        <f>UNAMA.[[#This Row],[$ NORMAL]]</f>
        <v>291.43870800000002</v>
      </c>
      <c r="AU9" s="162">
        <f>UNAMA.[[#This Row],[%  SITE]]</f>
        <v>0.5</v>
      </c>
      <c r="AV9" s="161">
        <f>UNAMA.[[#This Row],[$ SITE]]</f>
        <v>131.15</v>
      </c>
      <c r="AW9" s="162">
        <f>UNAMA.[[#This Row],[%  SGP]]</f>
        <v>0.55000000000000004</v>
      </c>
      <c r="AX9" s="161">
        <f>UNAMA.[[#This Row],[$ SGP]]</f>
        <v>118.03</v>
      </c>
      <c r="AY9" s="69" t="s">
        <v>351</v>
      </c>
      <c r="AZ9" s="69" t="s">
        <v>372</v>
      </c>
      <c r="BB9" s="121" t="s">
        <v>272</v>
      </c>
      <c r="BC9" s="69" t="s">
        <v>19</v>
      </c>
      <c r="BD9" s="69" t="str">
        <f>VLOOKUP(UNG.[[#This Row],[CURSO]],'[1]POS_VIVO_0112 a 3101_CAMP. REG)'!$F$224:$G$331,2,FALSE)</f>
        <v>Direito</v>
      </c>
      <c r="BE9" s="68">
        <f>VLOOKUP(UNG.[[#This Row],[CURSO]],'[1]POS_VIVO_0112 a 3101_CAMP. REG)'!$F$224:$H$331,3,FALSE)</f>
        <v>12</v>
      </c>
      <c r="BF9" s="68">
        <f>VLOOKUP(UNG.[[#This Row],[CURSO]],'[1]POS_VIVO_0112 a 3101_CAMP. REG)'!$F$224:$I$331,4,FALSE)</f>
        <v>19</v>
      </c>
      <c r="BG9" s="73">
        <f>VLOOKUP(UNG.[[#This Row],[CURSO]],'[1]POS_VIVO_0112 a 3101_CAMP. REG)'!$F$224:$J$331,5,FALSE)</f>
        <v>262.27804200000003</v>
      </c>
      <c r="BH9" s="72">
        <f>VLOOKUP(UNG.[[#This Row],[CURSO]],'[1]POS_VIVO_0112 a 3101_CAMP. REG)'!$F$224:$L$331,7,FALSE)</f>
        <v>0.5</v>
      </c>
      <c r="BI9" s="73">
        <f>VLOOKUP(UNG.[[#This Row],[CURSO]],'[1]POS_VIVO_0112 a 3101_CAMP. REG)'!$F$224:$M$331,8,FALSE)</f>
        <v>118.03</v>
      </c>
      <c r="BJ9" s="72">
        <f>VLOOKUP(UNG.[[#This Row],[CURSO]],'[1]POS_VIVO_0112 a 3101_CAMP. REG)'!$F$224:$P$331,11,FALSE)</f>
        <v>0.55000000000000004</v>
      </c>
      <c r="BK9" s="73">
        <f>VLOOKUP(UNG.[[#This Row],[CURSO]],'[1]POS_VIVO_0112 a 3101_CAMP. REG)'!$F$224:$Q$331,12,FALSE)</f>
        <v>106.22</v>
      </c>
      <c r="BL9" s="75">
        <f>UNG.[[#This Row],[Nº Parcelas]]</f>
        <v>19</v>
      </c>
      <c r="BM9" s="75">
        <f>UNG.[[#This Row],[Nº Parcelas normal2]]-1</f>
        <v>18</v>
      </c>
      <c r="BN9" s="73">
        <f>UNG.[[#This Row],[$ NORMAL]]</f>
        <v>262.27804200000003</v>
      </c>
      <c r="BO9" s="72">
        <f>UNG.[[#This Row],[%  SITE]]</f>
        <v>0.5</v>
      </c>
      <c r="BP9" s="73">
        <f>UNG.[[#This Row],[$ SITE]]</f>
        <v>118.03</v>
      </c>
      <c r="BQ9" s="72">
        <f>UNG.[[#This Row],[%  SGP]]</f>
        <v>0.55000000000000004</v>
      </c>
      <c r="BR9" s="73">
        <f>UNG.[[#This Row],[$ SGP]]</f>
        <v>106.22</v>
      </c>
      <c r="BS9" s="69" t="s">
        <v>351</v>
      </c>
      <c r="BT9" s="69" t="s">
        <v>372</v>
      </c>
      <c r="BV9" s="121" t="s">
        <v>272</v>
      </c>
      <c r="BW9" s="69" t="s">
        <v>19</v>
      </c>
      <c r="BX9" s="69" t="str">
        <f>VLOOKUP(UNINASSAU.[[#This Row],[CURSO]],'[1]POS_VIVO_0112 a 3101_CAMP. REG)'!$F$333:$G$447,2,FALSE)</f>
        <v>Direito</v>
      </c>
      <c r="BY9" s="68">
        <f>VLOOKUP(UNINASSAU.[[#This Row],[CURSO]],'[1]POS_VIVO_0112 a 3101_CAMP. REG)'!$F$333:$H$447,3,FALSE)</f>
        <v>12</v>
      </c>
      <c r="BZ9" s="68">
        <f>VLOOKUP(UNINASSAU.[[#This Row],[CURSO]],'[1]POS_VIVO_0112 a 3101_CAMP. REG)'!$F$333:$I$447,4,FALSE)</f>
        <v>19</v>
      </c>
      <c r="CA9" s="73">
        <f>VLOOKUP(UNINASSAU.[[#This Row],[CURSO]],'[1]POS_VIVO_0112 a 3101_CAMP. REG)'!$F$333:$J$447,5,FALSE)</f>
        <v>262.27804200000003</v>
      </c>
      <c r="CB9" s="72">
        <f>VLOOKUP(UNINASSAU.[[#This Row],[CURSO]],'[1]POS_VIVO_0112 a 3101_CAMP. REG)'!$F$333:$L$447,7,FALSE)</f>
        <v>0.5</v>
      </c>
      <c r="CC9" s="73">
        <f>VLOOKUP(UNINASSAU.[[#This Row],[CURSO]],'[1]POS_VIVO_0112 a 3101_CAMP. REG)'!$F$333:$M$447,8,FALSE)</f>
        <v>118.03</v>
      </c>
      <c r="CD9" s="72">
        <f>VLOOKUP(UNINASSAU.[[#This Row],[CURSO]],'[1]POS_VIVO_0112 a 3101_CAMP. REG)'!$F$333:$P$447,11,FALSE)</f>
        <v>0.55000000000000004</v>
      </c>
      <c r="CE9" s="73">
        <f>VLOOKUP(UNINASSAU.[[#This Row],[CURSO]],'[1]POS_VIVO_0112 a 3101_CAMP. REG)'!$F$333:$Q$447,12,FALSE)</f>
        <v>106.22</v>
      </c>
      <c r="CF9" s="75">
        <f>UNINASSAU.[[#This Row],[Nº Parcelas]]</f>
        <v>19</v>
      </c>
      <c r="CG9" s="75">
        <f>UNINASSAU.[[#This Row],[Nº Parcelas normal2]]-1</f>
        <v>18</v>
      </c>
      <c r="CH9" s="73">
        <f>UNINASSAU.[[#This Row],[$ NORMAL]]</f>
        <v>262.27804200000003</v>
      </c>
      <c r="CI9" s="72">
        <f>UNINASSAU.[[#This Row],[%  SITE]]</f>
        <v>0.5</v>
      </c>
      <c r="CJ9" s="73">
        <f>UNINASSAU.[[#This Row],[$ SITE]]</f>
        <v>118.03</v>
      </c>
      <c r="CK9" s="72">
        <f>UNINASSAU.[[#This Row],[%  SGP]]</f>
        <v>0.55000000000000004</v>
      </c>
      <c r="CL9" s="73">
        <f>UNINASSAU.[[#This Row],[$ SGP]]</f>
        <v>106.22</v>
      </c>
      <c r="CM9" s="69" t="s">
        <v>351</v>
      </c>
      <c r="CN9" s="69" t="s">
        <v>372</v>
      </c>
      <c r="CP9" s="104">
        <v>6</v>
      </c>
      <c r="CQ9" s="121" t="s">
        <v>261</v>
      </c>
      <c r="CR9" s="67"/>
      <c r="CT9" s="148"/>
    </row>
    <row r="10" spans="1:109" ht="16.5" customHeight="1" x14ac:dyDescent="0.3">
      <c r="A10" s="47"/>
      <c r="B10" s="17"/>
      <c r="C10" s="17"/>
      <c r="D10" s="25" t="s">
        <v>23</v>
      </c>
      <c r="E10" s="168" t="str">
        <f ca="1">IFERROR(VLOOKUP($CS$1,INDIRECT($CW$1),2,FALSE),"")</f>
        <v>COM OFERTA</v>
      </c>
      <c r="F10" s="168"/>
      <c r="G10" s="168"/>
      <c r="H10" s="28"/>
      <c r="I10" s="19"/>
      <c r="J10" s="1"/>
      <c r="K10" s="1"/>
      <c r="N10" s="121" t="s">
        <v>320</v>
      </c>
      <c r="O10" s="69" t="s">
        <v>19</v>
      </c>
      <c r="P10" s="69" t="str">
        <f>VLOOKUP(UNIFAEL.[[#This Row],[CURSO]],'[1]POS_VIVO_0112 a 3101_CAMP. REG)'!$F$5:$G$113,2,FALSE)</f>
        <v>Comunicação</v>
      </c>
      <c r="Q10" s="68">
        <f>VLOOKUP(UNIFAEL.[[#This Row],[CURSO]],'[1]POS_VIVO_0112 a 3101_CAMP. REG)'!$F$5:$H$113,3,FALSE)</f>
        <v>12</v>
      </c>
      <c r="R10" s="68">
        <f>VLOOKUP(UNIFAEL.[[#This Row],[CURSO]],'[1]POS_VIVO_0112 a 3101_CAMP. REG)'!$F$5:$I$113,4,FALSE)</f>
        <v>19</v>
      </c>
      <c r="S10" s="73">
        <f>VLOOKUP(UNIFAEL.[[#This Row],[CURSO]],'[1]POS_VIVO_0112 a 3101_CAMP. REG)'!$F$5:$J$113,5,FALSE)</f>
        <v>291.43870800000002</v>
      </c>
      <c r="T10" s="124">
        <f>VLOOKUP(UNIFAEL.[[#This Row],[CURSO]],'[1]POS_VIVO_0112 a 3101_CAMP. REG)'!$F$5:$L$113,7,FALSE)</f>
        <v>0.3</v>
      </c>
      <c r="U10" s="73">
        <f>VLOOKUP(UNIFAEL.[[#This Row],[CURSO]],'[1]POS_VIVO_0112 a 3101_CAMP. REG)'!$F$5:$M$113,8,FALSE)</f>
        <v>183.61</v>
      </c>
      <c r="V10" s="72">
        <f>VLOOKUP(UNIFAEL.[[#This Row],[CURSO]],'[1]POS_VIVO_0112 a 3101_CAMP. REG)'!$F$5:$P$113,11,FALSE)</f>
        <v>0.35</v>
      </c>
      <c r="W10" s="73">
        <f>VLOOKUP(UNIFAEL.[[#This Row],[CURSO]],'[1]POS_VIVO_0112 a 3101_CAMP. REG)'!$F$5:$Q$113,12,FALSE)</f>
        <v>170.49</v>
      </c>
      <c r="X10" s="75">
        <f>UNIFAEL.[[#This Row],[Nº Parcelas]]</f>
        <v>19</v>
      </c>
      <c r="Y10" s="75">
        <f>UNIFAEL.[[#This Row],[Nº Parcelas normal2]]-1</f>
        <v>18</v>
      </c>
      <c r="Z10" s="73">
        <f>UNIFAEL.[[#This Row],[$ NORMAL]]</f>
        <v>291.43870800000002</v>
      </c>
      <c r="AA10" s="72">
        <f>UNIFAEL.[[#This Row],[%  SITE]]</f>
        <v>0.3</v>
      </c>
      <c r="AB10" s="73">
        <f>UNIFAEL.[[#This Row],[$ SITE]]</f>
        <v>183.61</v>
      </c>
      <c r="AC10" s="72">
        <f>UNIFAEL.[[#This Row],[%  SGP]]</f>
        <v>0.35</v>
      </c>
      <c r="AD10" s="73">
        <f>UNIFAEL.[[#This Row],[$ SGP]]</f>
        <v>170.49</v>
      </c>
      <c r="AE10" s="69" t="s">
        <v>371</v>
      </c>
      <c r="AF10" s="69" t="s">
        <v>372</v>
      </c>
      <c r="AH10" s="121" t="s">
        <v>320</v>
      </c>
      <c r="AI10" s="69" t="s">
        <v>19</v>
      </c>
      <c r="AJ10" s="69" t="str">
        <f>VLOOKUP(UNAMA.[[#This Row],[PARCELA MATRICULA NÃO PAGA]],'[1]POS_VIVO_0112 a 3101_CAMP. REG)'!$F$115:$G$222,2,FALSE)</f>
        <v>Comunicação</v>
      </c>
      <c r="AK10" s="69">
        <f>VLOOKUP(UNAMA.[[#This Row],[PARCELA MATRICULA NÃO PAGA]],'[1]POS_VIVO_0112 a 3101_CAMP. REG)'!$F$115:$H$222,3,FALSE)</f>
        <v>12</v>
      </c>
      <c r="AL10" s="69">
        <f>VLOOKUP(UNAMA.[[#This Row],[PARCELA MATRICULA NÃO PAGA]],'[1]POS_VIVO_0112 a 3101_CAMP. REG)'!$F$115:$I$222,4,FALSE)</f>
        <v>19</v>
      </c>
      <c r="AM10" s="73">
        <f>VLOOKUP(UNAMA.[[#This Row],[PARCELA MATRICULA NÃO PAGA]],'[1]POS_VIVO_0112 a 3101_CAMP. REG)'!$F$115:$J$222,5,FALSE)</f>
        <v>320.59937400000007</v>
      </c>
      <c r="AN10" s="123">
        <f>VLOOKUP(UNAMA.[[#This Row],[PARCELA MATRICULA NÃO PAGA]],'[1]POS_VIVO_0112 a 3101_CAMP. REG)'!$F$115:$L$222,7,FALSE)</f>
        <v>0.3</v>
      </c>
      <c r="AO10" s="73">
        <f>VLOOKUP(UNAMA.[[#This Row],[PARCELA MATRICULA NÃO PAGA]],'[1]POS_VIVO_0112 a 3101_CAMP. REG)'!$F$115:$M$222,8,FALSE)</f>
        <v>201.98</v>
      </c>
      <c r="AP10" s="72">
        <f>VLOOKUP(UNAMA.[[#This Row],[PARCELA MATRICULA NÃO PAGA]],'[1]POS_VIVO_0112 a 3101_CAMP. REG)'!$F$115:$P$222,11,FALSE)</f>
        <v>0.35</v>
      </c>
      <c r="AQ10" s="73">
        <f>VLOOKUP(UNAMA.[[#This Row],[PARCELA MATRICULA NÃO PAGA]],'[1]POS_VIVO_0112 a 3101_CAMP. REG)'!$F$115:$Q$222,12,FALSE)</f>
        <v>187.55</v>
      </c>
      <c r="AR10" s="68">
        <f>UNAMA.[[#This Row],[Nº Parcelas]]</f>
        <v>19</v>
      </c>
      <c r="AS10" s="68">
        <f>UNAMA.[[#This Row],[Nº Parcelas normal2]]-1</f>
        <v>18</v>
      </c>
      <c r="AT10" s="71">
        <f>UNAMA.[[#This Row],[$ NORMAL]]</f>
        <v>320.59937400000007</v>
      </c>
      <c r="AU10" s="162">
        <f>UNAMA.[[#This Row],[%  SITE]]</f>
        <v>0.3</v>
      </c>
      <c r="AV10" s="161">
        <f>UNAMA.[[#This Row],[$ SITE]]</f>
        <v>201.98</v>
      </c>
      <c r="AW10" s="162">
        <f>UNAMA.[[#This Row],[%  SGP]]</f>
        <v>0.35</v>
      </c>
      <c r="AX10" s="161">
        <f>UNAMA.[[#This Row],[$ SGP]]</f>
        <v>187.55</v>
      </c>
      <c r="AY10" s="69" t="s">
        <v>351</v>
      </c>
      <c r="AZ10" s="69" t="s">
        <v>372</v>
      </c>
      <c r="BB10" s="121" t="s">
        <v>320</v>
      </c>
      <c r="BC10" s="69" t="s">
        <v>19</v>
      </c>
      <c r="BD10" s="69" t="str">
        <f>VLOOKUP(UNG.[[#This Row],[CURSO]],'[1]POS_VIVO_0112 a 3101_CAMP. REG)'!$F$224:$G$331,2,FALSE)</f>
        <v>Comunicação</v>
      </c>
      <c r="BE10" s="68">
        <f>VLOOKUP(UNG.[[#This Row],[CURSO]],'[1]POS_VIVO_0112 a 3101_CAMP. REG)'!$F$224:$H$331,3,FALSE)</f>
        <v>12</v>
      </c>
      <c r="BF10" s="68">
        <f>VLOOKUP(UNG.[[#This Row],[CURSO]],'[1]POS_VIVO_0112 a 3101_CAMP. REG)'!$F$224:$I$331,4,FALSE)</f>
        <v>19</v>
      </c>
      <c r="BG10" s="73">
        <f>VLOOKUP(UNG.[[#This Row],[CURSO]],'[1]POS_VIVO_0112 a 3101_CAMP. REG)'!$F$224:$J$331,5,FALSE)</f>
        <v>291.43870800000002</v>
      </c>
      <c r="BH10" s="72">
        <f>VLOOKUP(UNG.[[#This Row],[CURSO]],'[1]POS_VIVO_0112 a 3101_CAMP. REG)'!$F$224:$L$331,7,FALSE)</f>
        <v>0.3</v>
      </c>
      <c r="BI10" s="73">
        <f>VLOOKUP(UNG.[[#This Row],[CURSO]],'[1]POS_VIVO_0112 a 3101_CAMP. REG)'!$F$224:$M$331,8,FALSE)</f>
        <v>183.61</v>
      </c>
      <c r="BJ10" s="72">
        <f>VLOOKUP(UNG.[[#This Row],[CURSO]],'[1]POS_VIVO_0112 a 3101_CAMP. REG)'!$F$224:$P$331,11,FALSE)</f>
        <v>0.35</v>
      </c>
      <c r="BK10" s="73">
        <f>VLOOKUP(UNG.[[#This Row],[CURSO]],'[1]POS_VIVO_0112 a 3101_CAMP. REG)'!$F$224:$Q$331,12,FALSE)</f>
        <v>170.49</v>
      </c>
      <c r="BL10" s="75">
        <f>UNG.[[#This Row],[Nº Parcelas]]</f>
        <v>19</v>
      </c>
      <c r="BM10" s="75">
        <f>UNG.[[#This Row],[Nº Parcelas normal2]]-1</f>
        <v>18</v>
      </c>
      <c r="BN10" s="73">
        <f>UNG.[[#This Row],[$ NORMAL]]</f>
        <v>291.43870800000002</v>
      </c>
      <c r="BO10" s="72">
        <f>UNG.[[#This Row],[%  SITE]]</f>
        <v>0.3</v>
      </c>
      <c r="BP10" s="73">
        <f>UNG.[[#This Row],[$ SITE]]</f>
        <v>183.61</v>
      </c>
      <c r="BQ10" s="72">
        <f>UNG.[[#This Row],[%  SGP]]</f>
        <v>0.35</v>
      </c>
      <c r="BR10" s="73">
        <f>UNG.[[#This Row],[$ SGP]]</f>
        <v>170.49</v>
      </c>
      <c r="BS10" s="69" t="s">
        <v>351</v>
      </c>
      <c r="BT10" s="69" t="s">
        <v>372</v>
      </c>
      <c r="BV10" s="121" t="s">
        <v>320</v>
      </c>
      <c r="BW10" s="69" t="s">
        <v>19</v>
      </c>
      <c r="BX10" s="69" t="str">
        <f>VLOOKUP(UNINASSAU.[[#This Row],[CURSO]],'[1]POS_VIVO_0112 a 3101_CAMP. REG)'!$F$333:$G$447,2,FALSE)</f>
        <v>Comunicação</v>
      </c>
      <c r="BY10" s="68">
        <f>VLOOKUP(UNINASSAU.[[#This Row],[CURSO]],'[1]POS_VIVO_0112 a 3101_CAMP. REG)'!$F$333:$H$447,3,FALSE)</f>
        <v>12</v>
      </c>
      <c r="BZ10" s="68">
        <f>VLOOKUP(UNINASSAU.[[#This Row],[CURSO]],'[1]POS_VIVO_0112 a 3101_CAMP. REG)'!$F$333:$I$447,4,FALSE)</f>
        <v>19</v>
      </c>
      <c r="CA10" s="73">
        <f>VLOOKUP(UNINASSAU.[[#This Row],[CURSO]],'[1]POS_VIVO_0112 a 3101_CAMP. REG)'!$F$333:$J$447,5,FALSE)</f>
        <v>291.43870800000002</v>
      </c>
      <c r="CB10" s="72">
        <f>VLOOKUP(UNINASSAU.[[#This Row],[CURSO]],'[1]POS_VIVO_0112 a 3101_CAMP. REG)'!$F$333:$L$447,7,FALSE)</f>
        <v>0.3</v>
      </c>
      <c r="CC10" s="73">
        <f>VLOOKUP(UNINASSAU.[[#This Row],[CURSO]],'[1]POS_VIVO_0112 a 3101_CAMP. REG)'!$F$333:$M$447,8,FALSE)</f>
        <v>183.61</v>
      </c>
      <c r="CD10" s="72">
        <f>VLOOKUP(UNINASSAU.[[#This Row],[CURSO]],'[1]POS_VIVO_0112 a 3101_CAMP. REG)'!$F$333:$P$447,11,FALSE)</f>
        <v>0.35</v>
      </c>
      <c r="CE10" s="73">
        <f>VLOOKUP(UNINASSAU.[[#This Row],[CURSO]],'[1]POS_VIVO_0112 a 3101_CAMP. REG)'!$F$333:$Q$447,12,FALSE)</f>
        <v>170.49</v>
      </c>
      <c r="CF10" s="75">
        <f>UNINASSAU.[[#This Row],[Nº Parcelas]]</f>
        <v>19</v>
      </c>
      <c r="CG10" s="75">
        <f>UNINASSAU.[[#This Row],[Nº Parcelas normal2]]-1</f>
        <v>18</v>
      </c>
      <c r="CH10" s="73">
        <f>UNINASSAU.[[#This Row],[$ NORMAL]]</f>
        <v>291.43870800000002</v>
      </c>
      <c r="CI10" s="72">
        <f>UNINASSAU.[[#This Row],[%  SITE]]</f>
        <v>0.3</v>
      </c>
      <c r="CJ10" s="73">
        <f>UNINASSAU.[[#This Row],[$ SITE]]</f>
        <v>183.61</v>
      </c>
      <c r="CK10" s="72">
        <f>UNINASSAU.[[#This Row],[%  SGP]]</f>
        <v>0.35</v>
      </c>
      <c r="CL10" s="73">
        <f>UNINASSAU.[[#This Row],[$ SGP]]</f>
        <v>170.49</v>
      </c>
      <c r="CM10" s="69" t="s">
        <v>351</v>
      </c>
      <c r="CN10" s="69" t="s">
        <v>372</v>
      </c>
      <c r="CP10" s="104">
        <v>7</v>
      </c>
      <c r="CQ10" s="121" t="s">
        <v>262</v>
      </c>
      <c r="CR10" s="67"/>
      <c r="CW10" s="149"/>
    </row>
    <row r="11" spans="1:109" ht="16.5" customHeight="1" x14ac:dyDescent="0.25">
      <c r="A11" s="47"/>
      <c r="B11" s="17"/>
      <c r="C11" s="17"/>
      <c r="D11" s="26" t="str">
        <f ca="1">IF($D$20=0,"","▶  Verifique se o curso está habilitado para oferta no seu polo de acordo com a marca")</f>
        <v>▶  Verifique se o curso está habilitado para oferta no seu polo de acordo com a marca</v>
      </c>
      <c r="E11" s="18"/>
      <c r="F11" s="18"/>
      <c r="G11" s="17"/>
      <c r="H11" s="17"/>
      <c r="I11" s="19"/>
      <c r="J11" s="1"/>
      <c r="K11" s="1"/>
      <c r="L11" s="150"/>
      <c r="N11" s="121" t="s">
        <v>177</v>
      </c>
      <c r="O11" s="69" t="s">
        <v>19</v>
      </c>
      <c r="P11" s="69" t="str">
        <f>VLOOKUP(UNIFAEL.[[#This Row],[CURSO]],'[1]POS_VIVO_0112 a 3101_CAMP. REG)'!$F$5:$G$113,2,FALSE)</f>
        <v>Saúde</v>
      </c>
      <c r="Q11" s="68">
        <f>VLOOKUP(UNIFAEL.[[#This Row],[CURSO]],'[1]POS_VIVO_0112 a 3101_CAMP. REG)'!$F$5:$H$113,3,FALSE)</f>
        <v>12</v>
      </c>
      <c r="R11" s="68">
        <f>VLOOKUP(UNIFAEL.[[#This Row],[CURSO]],'[1]POS_VIVO_0112 a 3101_CAMP. REG)'!$F$5:$I$113,4,FALSE)</f>
        <v>19</v>
      </c>
      <c r="S11" s="73">
        <f>VLOOKUP(UNIFAEL.[[#This Row],[CURSO]],'[1]POS_VIVO_0112 a 3101_CAMP. REG)'!$F$5:$J$113,5,FALSE)</f>
        <v>356.89800000000002</v>
      </c>
      <c r="T11" s="124">
        <f>VLOOKUP(UNIFAEL.[[#This Row],[CURSO]],'[1]POS_VIVO_0112 a 3101_CAMP. REG)'!$F$5:$L$113,7,FALSE)</f>
        <v>0.4</v>
      </c>
      <c r="U11" s="73">
        <f>VLOOKUP(UNIFAEL.[[#This Row],[CURSO]],'[1]POS_VIVO_0112 a 3101_CAMP. REG)'!$F$5:$M$113,8,FALSE)</f>
        <v>192.72</v>
      </c>
      <c r="V11" s="72">
        <f>VLOOKUP(UNIFAEL.[[#This Row],[CURSO]],'[1]POS_VIVO_0112 a 3101_CAMP. REG)'!$F$5:$P$113,11,FALSE)</f>
        <v>0.45</v>
      </c>
      <c r="W11" s="73">
        <f>VLOOKUP(UNIFAEL.[[#This Row],[CURSO]],'[1]POS_VIVO_0112 a 3101_CAMP. REG)'!$F$5:$Q$113,12,FALSE)</f>
        <v>176.66</v>
      </c>
      <c r="X11" s="75">
        <f>UNIFAEL.[[#This Row],[Nº Parcelas]]</f>
        <v>19</v>
      </c>
      <c r="Y11" s="75">
        <f>UNIFAEL.[[#This Row],[Nº Parcelas normal2]]-1</f>
        <v>18</v>
      </c>
      <c r="Z11" s="73">
        <f>UNIFAEL.[[#This Row],[$ NORMAL]]</f>
        <v>356.89800000000002</v>
      </c>
      <c r="AA11" s="72">
        <f>UNIFAEL.[[#This Row],[%  SITE]]</f>
        <v>0.4</v>
      </c>
      <c r="AB11" s="73">
        <f>UNIFAEL.[[#This Row],[$ SITE]]</f>
        <v>192.72</v>
      </c>
      <c r="AC11" s="72">
        <f>UNIFAEL.[[#This Row],[%  SGP]]</f>
        <v>0.45</v>
      </c>
      <c r="AD11" s="73">
        <f>UNIFAEL.[[#This Row],[$ SGP]]</f>
        <v>176.66</v>
      </c>
      <c r="AE11" s="69" t="s">
        <v>371</v>
      </c>
      <c r="AF11" s="69" t="s">
        <v>372</v>
      </c>
      <c r="AH11" s="121" t="s">
        <v>177</v>
      </c>
      <c r="AI11" s="69" t="s">
        <v>19</v>
      </c>
      <c r="AJ11" s="69" t="str">
        <f>VLOOKUP(UNAMA.[[#This Row],[PARCELA MATRICULA NÃO PAGA]],'[1]POS_VIVO_0112 a 3101_CAMP. REG)'!$F$115:$G$222,2,FALSE)</f>
        <v>Saúde</v>
      </c>
      <c r="AK11" s="69">
        <f>VLOOKUP(UNAMA.[[#This Row],[PARCELA MATRICULA NÃO PAGA]],'[1]POS_VIVO_0112 a 3101_CAMP. REG)'!$F$115:$H$222,3,FALSE)</f>
        <v>12</v>
      </c>
      <c r="AL11" s="69">
        <f>VLOOKUP(UNAMA.[[#This Row],[PARCELA MATRICULA NÃO PAGA]],'[1]POS_VIVO_0112 a 3101_CAMP. REG)'!$F$115:$I$222,4,FALSE)</f>
        <v>19</v>
      </c>
      <c r="AM11" s="73">
        <f>VLOOKUP(UNAMA.[[#This Row],[PARCELA MATRICULA NÃO PAGA]],'[1]POS_VIVO_0112 a 3101_CAMP. REG)'!$F$115:$J$222,5,FALSE)</f>
        <v>392.58780000000007</v>
      </c>
      <c r="AN11" s="123">
        <f>VLOOKUP(UNAMA.[[#This Row],[PARCELA MATRICULA NÃO PAGA]],'[1]POS_VIVO_0112 a 3101_CAMP. REG)'!$F$115:$L$222,7,FALSE)</f>
        <v>0.4</v>
      </c>
      <c r="AO11" s="73">
        <f>VLOOKUP(UNAMA.[[#This Row],[PARCELA MATRICULA NÃO PAGA]],'[1]POS_VIVO_0112 a 3101_CAMP. REG)'!$F$115:$M$222,8,FALSE)</f>
        <v>212</v>
      </c>
      <c r="AP11" s="72">
        <f>VLOOKUP(UNAMA.[[#This Row],[PARCELA MATRICULA NÃO PAGA]],'[1]POS_VIVO_0112 a 3101_CAMP. REG)'!$F$115:$P$222,11,FALSE)</f>
        <v>0.45</v>
      </c>
      <c r="AQ11" s="73">
        <f>VLOOKUP(UNAMA.[[#This Row],[PARCELA MATRICULA NÃO PAGA]],'[1]POS_VIVO_0112 a 3101_CAMP. REG)'!$F$115:$Q$222,12,FALSE)</f>
        <v>194.33</v>
      </c>
      <c r="AR11" s="68">
        <f>UNAMA.[[#This Row],[Nº Parcelas]]</f>
        <v>19</v>
      </c>
      <c r="AS11" s="68">
        <f>UNAMA.[[#This Row],[Nº Parcelas normal2]]-1</f>
        <v>18</v>
      </c>
      <c r="AT11" s="71">
        <f>UNAMA.[[#This Row],[$ NORMAL]]</f>
        <v>392.58780000000007</v>
      </c>
      <c r="AU11" s="162">
        <f>UNAMA.[[#This Row],[%  SITE]]</f>
        <v>0.4</v>
      </c>
      <c r="AV11" s="161">
        <f>UNAMA.[[#This Row],[$ SITE]]</f>
        <v>212</v>
      </c>
      <c r="AW11" s="162">
        <f>UNAMA.[[#This Row],[%  SGP]]</f>
        <v>0.45</v>
      </c>
      <c r="AX11" s="161">
        <f>UNAMA.[[#This Row],[$ SGP]]</f>
        <v>194.33</v>
      </c>
      <c r="AY11" s="69" t="s">
        <v>351</v>
      </c>
      <c r="AZ11" s="69" t="s">
        <v>372</v>
      </c>
      <c r="BB11" s="121" t="s">
        <v>177</v>
      </c>
      <c r="BC11" s="69" t="s">
        <v>19</v>
      </c>
      <c r="BD11" s="69" t="str">
        <f>VLOOKUP(UNG.[[#This Row],[CURSO]],'[1]POS_VIVO_0112 a 3101_CAMP. REG)'!$F$224:$G$331,2,FALSE)</f>
        <v>Saúde</v>
      </c>
      <c r="BE11" s="68">
        <f>VLOOKUP(UNG.[[#This Row],[CURSO]],'[1]POS_VIVO_0112 a 3101_CAMP. REG)'!$F$224:$H$331,3,FALSE)</f>
        <v>12</v>
      </c>
      <c r="BF11" s="68">
        <f>VLOOKUP(UNG.[[#This Row],[CURSO]],'[1]POS_VIVO_0112 a 3101_CAMP. REG)'!$F$224:$I$331,4,FALSE)</f>
        <v>19</v>
      </c>
      <c r="BG11" s="73">
        <f>VLOOKUP(UNG.[[#This Row],[CURSO]],'[1]POS_VIVO_0112 a 3101_CAMP. REG)'!$F$224:$J$331,5,FALSE)</f>
        <v>356.89800000000002</v>
      </c>
      <c r="BH11" s="72">
        <f>VLOOKUP(UNG.[[#This Row],[CURSO]],'[1]POS_VIVO_0112 a 3101_CAMP. REG)'!$F$224:$L$331,7,FALSE)</f>
        <v>0.4</v>
      </c>
      <c r="BI11" s="73">
        <f>VLOOKUP(UNG.[[#This Row],[CURSO]],'[1]POS_VIVO_0112 a 3101_CAMP. REG)'!$F$224:$M$331,8,FALSE)</f>
        <v>192.72</v>
      </c>
      <c r="BJ11" s="72">
        <f>VLOOKUP(UNG.[[#This Row],[CURSO]],'[1]POS_VIVO_0112 a 3101_CAMP. REG)'!$F$224:$P$331,11,FALSE)</f>
        <v>0.45</v>
      </c>
      <c r="BK11" s="73">
        <f>VLOOKUP(UNG.[[#This Row],[CURSO]],'[1]POS_VIVO_0112 a 3101_CAMP. REG)'!$F$224:$Q$331,12,FALSE)</f>
        <v>176.66</v>
      </c>
      <c r="BL11" s="75">
        <f>UNG.[[#This Row],[Nº Parcelas]]</f>
        <v>19</v>
      </c>
      <c r="BM11" s="75">
        <f>UNG.[[#This Row],[Nº Parcelas normal2]]-1</f>
        <v>18</v>
      </c>
      <c r="BN11" s="73">
        <f>UNG.[[#This Row],[$ NORMAL]]</f>
        <v>356.89800000000002</v>
      </c>
      <c r="BO11" s="72">
        <f>UNG.[[#This Row],[%  SITE]]</f>
        <v>0.4</v>
      </c>
      <c r="BP11" s="73">
        <f>UNG.[[#This Row],[$ SITE]]</f>
        <v>192.72</v>
      </c>
      <c r="BQ11" s="72">
        <f>UNG.[[#This Row],[%  SGP]]</f>
        <v>0.45</v>
      </c>
      <c r="BR11" s="73">
        <f>UNG.[[#This Row],[$ SGP]]</f>
        <v>176.66</v>
      </c>
      <c r="BS11" s="69" t="s">
        <v>351</v>
      </c>
      <c r="BT11" s="69" t="s">
        <v>372</v>
      </c>
      <c r="BV11" s="121" t="s">
        <v>177</v>
      </c>
      <c r="BW11" s="69" t="s">
        <v>19</v>
      </c>
      <c r="BX11" s="69" t="str">
        <f>VLOOKUP(UNINASSAU.[[#This Row],[CURSO]],'[1]POS_VIVO_0112 a 3101_CAMP. REG)'!$F$333:$G$447,2,FALSE)</f>
        <v>Saúde</v>
      </c>
      <c r="BY11" s="68">
        <f>VLOOKUP(UNINASSAU.[[#This Row],[CURSO]],'[1]POS_VIVO_0112 a 3101_CAMP. REG)'!$F$333:$H$447,3,FALSE)</f>
        <v>12</v>
      </c>
      <c r="BZ11" s="68">
        <f>VLOOKUP(UNINASSAU.[[#This Row],[CURSO]],'[1]POS_VIVO_0112 a 3101_CAMP. REG)'!$F$333:$I$447,4,FALSE)</f>
        <v>19</v>
      </c>
      <c r="CA11" s="73">
        <f>VLOOKUP(UNINASSAU.[[#This Row],[CURSO]],'[1]POS_VIVO_0112 a 3101_CAMP. REG)'!$F$333:$J$447,5,FALSE)</f>
        <v>356.89800000000002</v>
      </c>
      <c r="CB11" s="72">
        <f>VLOOKUP(UNINASSAU.[[#This Row],[CURSO]],'[1]POS_VIVO_0112 a 3101_CAMP. REG)'!$F$333:$L$447,7,FALSE)</f>
        <v>0.4</v>
      </c>
      <c r="CC11" s="73">
        <f>VLOOKUP(UNINASSAU.[[#This Row],[CURSO]],'[1]POS_VIVO_0112 a 3101_CAMP. REG)'!$F$333:$M$447,8,FALSE)</f>
        <v>192.72</v>
      </c>
      <c r="CD11" s="72">
        <f>VLOOKUP(UNINASSAU.[[#This Row],[CURSO]],'[1]POS_VIVO_0112 a 3101_CAMP. REG)'!$F$333:$P$447,11,FALSE)</f>
        <v>0.45</v>
      </c>
      <c r="CE11" s="73">
        <f>VLOOKUP(UNINASSAU.[[#This Row],[CURSO]],'[1]POS_VIVO_0112 a 3101_CAMP. REG)'!$F$333:$Q$447,12,FALSE)</f>
        <v>176.66</v>
      </c>
      <c r="CF11" s="75">
        <f>UNINASSAU.[[#This Row],[Nº Parcelas]]</f>
        <v>19</v>
      </c>
      <c r="CG11" s="75">
        <f>UNINASSAU.[[#This Row],[Nº Parcelas normal2]]-1</f>
        <v>18</v>
      </c>
      <c r="CH11" s="73">
        <f>UNINASSAU.[[#This Row],[$ NORMAL]]</f>
        <v>356.89800000000002</v>
      </c>
      <c r="CI11" s="72">
        <f>UNINASSAU.[[#This Row],[%  SITE]]</f>
        <v>0.4</v>
      </c>
      <c r="CJ11" s="73">
        <f>UNINASSAU.[[#This Row],[$ SITE]]</f>
        <v>192.72</v>
      </c>
      <c r="CK11" s="72">
        <f>UNINASSAU.[[#This Row],[%  SGP]]</f>
        <v>0.45</v>
      </c>
      <c r="CL11" s="73">
        <f>UNINASSAU.[[#This Row],[$ SGP]]</f>
        <v>176.66</v>
      </c>
      <c r="CM11" s="69" t="s">
        <v>351</v>
      </c>
      <c r="CN11" s="69" t="s">
        <v>372</v>
      </c>
      <c r="CP11" s="104">
        <v>8</v>
      </c>
      <c r="CQ11" s="121" t="s">
        <v>263</v>
      </c>
      <c r="CR11" s="67"/>
      <c r="CW11" s="149"/>
    </row>
    <row r="12" spans="1:109" ht="16.5" customHeight="1" x14ac:dyDescent="0.3">
      <c r="A12" s="47"/>
      <c r="B12" s="17"/>
      <c r="C12" s="17"/>
      <c r="D12" s="25" t="s">
        <v>24</v>
      </c>
      <c r="E12" s="37">
        <f ca="1">IFERROR(VLOOKUP($CS$1,INDIRECT($CW$1),4,FALSE),"")</f>
        <v>12</v>
      </c>
      <c r="F12" s="27" t="s">
        <v>25</v>
      </c>
      <c r="G12" s="38" t="str">
        <f ca="1">IFERROR(VLOOKUP($CS$1,INDIRECT($CW$1),3,FALSE),"")</f>
        <v>Saúde</v>
      </c>
      <c r="H12" s="7"/>
      <c r="I12" s="19"/>
      <c r="J12" s="1"/>
      <c r="K12" s="1"/>
      <c r="N12" s="121" t="s">
        <v>328</v>
      </c>
      <c r="O12" s="69" t="s">
        <v>19</v>
      </c>
      <c r="P12" s="69" t="str">
        <f>VLOOKUP(UNIFAEL.[[#This Row],[CURSO]],'[1]POS_VIVO_0112 a 3101_CAMP. REG)'!$F$5:$G$113,2,FALSE)</f>
        <v>Direito</v>
      </c>
      <c r="Q12" s="68">
        <f>VLOOKUP(UNIFAEL.[[#This Row],[CURSO]],'[1]POS_VIVO_0112 a 3101_CAMP. REG)'!$F$5:$H$113,3,FALSE)</f>
        <v>12</v>
      </c>
      <c r="R12" s="68">
        <f>VLOOKUP(UNIFAEL.[[#This Row],[CURSO]],'[1]POS_VIVO_0112 a 3101_CAMP. REG)'!$F$5:$I$113,4,FALSE)</f>
        <v>19</v>
      </c>
      <c r="S12" s="73">
        <f>VLOOKUP(UNIFAEL.[[#This Row],[CURSO]],'[1]POS_VIVO_0112 a 3101_CAMP. REG)'!$F$5:$J$113,5,FALSE)</f>
        <v>262.27804200000003</v>
      </c>
      <c r="T12" s="124">
        <f>VLOOKUP(UNIFAEL.[[#This Row],[CURSO]],'[1]POS_VIVO_0112 a 3101_CAMP. REG)'!$F$5:$L$113,7,FALSE)</f>
        <v>0.4</v>
      </c>
      <c r="U12" s="73">
        <f>VLOOKUP(UNIFAEL.[[#This Row],[CURSO]],'[1]POS_VIVO_0112 a 3101_CAMP. REG)'!$F$5:$M$113,8,FALSE)</f>
        <v>141.63</v>
      </c>
      <c r="V12" s="72">
        <f>VLOOKUP(UNIFAEL.[[#This Row],[CURSO]],'[1]POS_VIVO_0112 a 3101_CAMP. REG)'!$F$5:$P$113,11,FALSE)</f>
        <v>0.45</v>
      </c>
      <c r="W12" s="73">
        <f>VLOOKUP(UNIFAEL.[[#This Row],[CURSO]],'[1]POS_VIVO_0112 a 3101_CAMP. REG)'!$F$5:$Q$113,12,FALSE)</f>
        <v>129.83000000000001</v>
      </c>
      <c r="X12" s="75">
        <f>UNIFAEL.[[#This Row],[Nº Parcelas]]</f>
        <v>19</v>
      </c>
      <c r="Y12" s="75">
        <f>UNIFAEL.[[#This Row],[Nº Parcelas normal2]]-1</f>
        <v>18</v>
      </c>
      <c r="Z12" s="73">
        <f>UNIFAEL.[[#This Row],[$ NORMAL]]</f>
        <v>262.27804200000003</v>
      </c>
      <c r="AA12" s="72">
        <f>UNIFAEL.[[#This Row],[%  SITE]]</f>
        <v>0.4</v>
      </c>
      <c r="AB12" s="73">
        <f>UNIFAEL.[[#This Row],[$ SITE]]</f>
        <v>141.63</v>
      </c>
      <c r="AC12" s="72">
        <f>UNIFAEL.[[#This Row],[%  SGP]]</f>
        <v>0.45</v>
      </c>
      <c r="AD12" s="73">
        <f>UNIFAEL.[[#This Row],[$ SGP]]</f>
        <v>129.83000000000001</v>
      </c>
      <c r="AE12" s="69" t="s">
        <v>371</v>
      </c>
      <c r="AF12" s="69" t="s">
        <v>372</v>
      </c>
      <c r="AH12" s="121" t="s">
        <v>328</v>
      </c>
      <c r="AI12" s="69" t="s">
        <v>19</v>
      </c>
      <c r="AJ12" s="69" t="str">
        <f>VLOOKUP(UNAMA.[[#This Row],[PARCELA MATRICULA NÃO PAGA]],'[1]POS_VIVO_0112 a 3101_CAMP. REG)'!$F$115:$G$222,2,FALSE)</f>
        <v>Direito</v>
      </c>
      <c r="AK12" s="69">
        <f>VLOOKUP(UNAMA.[[#This Row],[PARCELA MATRICULA NÃO PAGA]],'[1]POS_VIVO_0112 a 3101_CAMP. REG)'!$F$115:$H$222,3,FALSE)</f>
        <v>12</v>
      </c>
      <c r="AL12" s="69">
        <f>VLOOKUP(UNAMA.[[#This Row],[PARCELA MATRICULA NÃO PAGA]],'[1]POS_VIVO_0112 a 3101_CAMP. REG)'!$F$115:$I$222,4,FALSE)</f>
        <v>19</v>
      </c>
      <c r="AM12" s="73">
        <f>VLOOKUP(UNAMA.[[#This Row],[PARCELA MATRICULA NÃO PAGA]],'[1]POS_VIVO_0112 a 3101_CAMP. REG)'!$F$115:$J$222,5,FALSE)</f>
        <v>291.43870800000002</v>
      </c>
      <c r="AN12" s="123">
        <f>VLOOKUP(UNAMA.[[#This Row],[PARCELA MATRICULA NÃO PAGA]],'[1]POS_VIVO_0112 a 3101_CAMP. REG)'!$F$115:$L$222,7,FALSE)</f>
        <v>0.4</v>
      </c>
      <c r="AO12" s="73">
        <f>VLOOKUP(UNAMA.[[#This Row],[PARCELA MATRICULA NÃO PAGA]],'[1]POS_VIVO_0112 a 3101_CAMP. REG)'!$F$115:$M$222,8,FALSE)</f>
        <v>157.38</v>
      </c>
      <c r="AP12" s="72">
        <f>VLOOKUP(UNAMA.[[#This Row],[PARCELA MATRICULA NÃO PAGA]],'[1]POS_VIVO_0112 a 3101_CAMP. REG)'!$F$115:$P$222,11,FALSE)</f>
        <v>0.45</v>
      </c>
      <c r="AQ12" s="73">
        <f>VLOOKUP(UNAMA.[[#This Row],[PARCELA MATRICULA NÃO PAGA]],'[1]POS_VIVO_0112 a 3101_CAMP. REG)'!$F$115:$Q$222,12,FALSE)</f>
        <v>144.26</v>
      </c>
      <c r="AR12" s="68">
        <f>UNAMA.[[#This Row],[Nº Parcelas]]</f>
        <v>19</v>
      </c>
      <c r="AS12" s="68">
        <f>UNAMA.[[#This Row],[Nº Parcelas normal2]]-1</f>
        <v>18</v>
      </c>
      <c r="AT12" s="71">
        <f>UNAMA.[[#This Row],[$ NORMAL]]</f>
        <v>291.43870800000002</v>
      </c>
      <c r="AU12" s="162">
        <f>UNAMA.[[#This Row],[%  SITE]]</f>
        <v>0.4</v>
      </c>
      <c r="AV12" s="161">
        <f>UNAMA.[[#This Row],[$ SITE]]</f>
        <v>157.38</v>
      </c>
      <c r="AW12" s="162">
        <f>UNAMA.[[#This Row],[%  SGP]]</f>
        <v>0.45</v>
      </c>
      <c r="AX12" s="161">
        <f>UNAMA.[[#This Row],[$ SGP]]</f>
        <v>144.26</v>
      </c>
      <c r="AY12" s="69" t="s">
        <v>351</v>
      </c>
      <c r="AZ12" s="69" t="s">
        <v>372</v>
      </c>
      <c r="BB12" s="121" t="s">
        <v>328</v>
      </c>
      <c r="BC12" s="69" t="s">
        <v>19</v>
      </c>
      <c r="BD12" s="69" t="str">
        <f>VLOOKUP(UNG.[[#This Row],[CURSO]],'[1]POS_VIVO_0112 a 3101_CAMP. REG)'!$F$224:$G$331,2,FALSE)</f>
        <v>Direito</v>
      </c>
      <c r="BE12" s="68">
        <f>VLOOKUP(UNG.[[#This Row],[CURSO]],'[1]POS_VIVO_0112 a 3101_CAMP. REG)'!$F$224:$H$331,3,FALSE)</f>
        <v>12</v>
      </c>
      <c r="BF12" s="68">
        <f>VLOOKUP(UNG.[[#This Row],[CURSO]],'[1]POS_VIVO_0112 a 3101_CAMP. REG)'!$F$224:$I$331,4,FALSE)</f>
        <v>19</v>
      </c>
      <c r="BG12" s="73">
        <f>VLOOKUP(UNG.[[#This Row],[CURSO]],'[1]POS_VIVO_0112 a 3101_CAMP. REG)'!$F$224:$J$331,5,FALSE)</f>
        <v>262.27804200000003</v>
      </c>
      <c r="BH12" s="72">
        <f>VLOOKUP(UNG.[[#This Row],[CURSO]],'[1]POS_VIVO_0112 a 3101_CAMP. REG)'!$F$224:$L$331,7,FALSE)</f>
        <v>0.4</v>
      </c>
      <c r="BI12" s="73">
        <f>VLOOKUP(UNG.[[#This Row],[CURSO]],'[1]POS_VIVO_0112 a 3101_CAMP. REG)'!$F$224:$M$331,8,FALSE)</f>
        <v>141.63</v>
      </c>
      <c r="BJ12" s="72">
        <f>VLOOKUP(UNG.[[#This Row],[CURSO]],'[1]POS_VIVO_0112 a 3101_CAMP. REG)'!$F$224:$P$331,11,FALSE)</f>
        <v>0.45</v>
      </c>
      <c r="BK12" s="73">
        <f>VLOOKUP(UNG.[[#This Row],[CURSO]],'[1]POS_VIVO_0112 a 3101_CAMP. REG)'!$F$224:$Q$331,12,FALSE)</f>
        <v>129.83000000000001</v>
      </c>
      <c r="BL12" s="75">
        <f>UNG.[[#This Row],[Nº Parcelas]]</f>
        <v>19</v>
      </c>
      <c r="BM12" s="75">
        <f>UNG.[[#This Row],[Nº Parcelas normal2]]-1</f>
        <v>18</v>
      </c>
      <c r="BN12" s="73">
        <f>UNG.[[#This Row],[$ NORMAL]]</f>
        <v>262.27804200000003</v>
      </c>
      <c r="BO12" s="72">
        <f>UNG.[[#This Row],[%  SITE]]</f>
        <v>0.4</v>
      </c>
      <c r="BP12" s="73">
        <f>UNG.[[#This Row],[$ SITE]]</f>
        <v>141.63</v>
      </c>
      <c r="BQ12" s="72">
        <f>UNG.[[#This Row],[%  SGP]]</f>
        <v>0.45</v>
      </c>
      <c r="BR12" s="73">
        <f>UNG.[[#This Row],[$ SGP]]</f>
        <v>129.83000000000001</v>
      </c>
      <c r="BS12" s="69" t="s">
        <v>351</v>
      </c>
      <c r="BT12" s="69" t="s">
        <v>372</v>
      </c>
      <c r="BV12" s="121" t="s">
        <v>328</v>
      </c>
      <c r="BW12" s="69" t="s">
        <v>19</v>
      </c>
      <c r="BX12" s="69" t="str">
        <f>VLOOKUP(UNINASSAU.[[#This Row],[CURSO]],'[1]POS_VIVO_0112 a 3101_CAMP. REG)'!$F$333:$G$447,2,FALSE)</f>
        <v>Direito</v>
      </c>
      <c r="BY12" s="68">
        <f>VLOOKUP(UNINASSAU.[[#This Row],[CURSO]],'[1]POS_VIVO_0112 a 3101_CAMP. REG)'!$F$333:$H$447,3,FALSE)</f>
        <v>12</v>
      </c>
      <c r="BZ12" s="68">
        <f>VLOOKUP(UNINASSAU.[[#This Row],[CURSO]],'[1]POS_VIVO_0112 a 3101_CAMP. REG)'!$F$333:$I$447,4,FALSE)</f>
        <v>19</v>
      </c>
      <c r="CA12" s="73">
        <f>VLOOKUP(UNINASSAU.[[#This Row],[CURSO]],'[1]POS_VIVO_0112 a 3101_CAMP. REG)'!$F$333:$J$447,5,FALSE)</f>
        <v>262.27804200000003</v>
      </c>
      <c r="CB12" s="72">
        <f>VLOOKUP(UNINASSAU.[[#This Row],[CURSO]],'[1]POS_VIVO_0112 a 3101_CAMP. REG)'!$F$333:$L$447,7,FALSE)</f>
        <v>0.4</v>
      </c>
      <c r="CC12" s="73">
        <f>VLOOKUP(UNINASSAU.[[#This Row],[CURSO]],'[1]POS_VIVO_0112 a 3101_CAMP. REG)'!$F$333:$M$447,8,FALSE)</f>
        <v>141.63</v>
      </c>
      <c r="CD12" s="72">
        <f>VLOOKUP(UNINASSAU.[[#This Row],[CURSO]],'[1]POS_VIVO_0112 a 3101_CAMP. REG)'!$F$333:$P$447,11,FALSE)</f>
        <v>0.45</v>
      </c>
      <c r="CE12" s="73">
        <f>VLOOKUP(UNINASSAU.[[#This Row],[CURSO]],'[1]POS_VIVO_0112 a 3101_CAMP. REG)'!$F$333:$Q$447,12,FALSE)</f>
        <v>129.83000000000001</v>
      </c>
      <c r="CF12" s="75">
        <f>UNINASSAU.[[#This Row],[Nº Parcelas]]</f>
        <v>19</v>
      </c>
      <c r="CG12" s="75">
        <f>UNINASSAU.[[#This Row],[Nº Parcelas normal2]]-1</f>
        <v>18</v>
      </c>
      <c r="CH12" s="73">
        <f>UNINASSAU.[[#This Row],[$ NORMAL]]</f>
        <v>262.27804200000003</v>
      </c>
      <c r="CI12" s="72">
        <f>UNINASSAU.[[#This Row],[%  SITE]]</f>
        <v>0.4</v>
      </c>
      <c r="CJ12" s="73">
        <f>UNINASSAU.[[#This Row],[$ SITE]]</f>
        <v>141.63</v>
      </c>
      <c r="CK12" s="72">
        <f>UNINASSAU.[[#This Row],[%  SGP]]</f>
        <v>0.45</v>
      </c>
      <c r="CL12" s="73">
        <f>UNINASSAU.[[#This Row],[$ SGP]]</f>
        <v>129.83000000000001</v>
      </c>
      <c r="CM12" s="69" t="s">
        <v>351</v>
      </c>
      <c r="CN12" s="69" t="s">
        <v>372</v>
      </c>
      <c r="CP12" s="104">
        <v>9</v>
      </c>
      <c r="CQ12" s="121" t="s">
        <v>264</v>
      </c>
      <c r="CR12" s="67"/>
      <c r="CV12" s="151"/>
    </row>
    <row r="13" spans="1:109" ht="9" customHeight="1" x14ac:dyDescent="0.25">
      <c r="A13" s="47"/>
      <c r="B13" s="17"/>
      <c r="C13" s="17"/>
      <c r="D13" s="17"/>
      <c r="E13" s="17"/>
      <c r="F13" s="18"/>
      <c r="G13" s="17"/>
      <c r="H13" s="17"/>
      <c r="I13" s="19"/>
      <c r="J13" s="1"/>
      <c r="K13" s="1"/>
      <c r="N13" s="121" t="s">
        <v>327</v>
      </c>
      <c r="O13" s="69" t="s">
        <v>19</v>
      </c>
      <c r="P13" s="69" t="str">
        <f>VLOOKUP(UNIFAEL.[[#This Row],[CURSO]],'[1]POS_VIVO_0112 a 3101_CAMP. REG)'!$F$5:$G$113,2,FALSE)</f>
        <v>Tecnologia/Engenharia</v>
      </c>
      <c r="Q13" s="68">
        <f>VLOOKUP(UNIFAEL.[[#This Row],[CURSO]],'[1]POS_VIVO_0112 a 3101_CAMP. REG)'!$F$5:$H$113,3,FALSE)</f>
        <v>15</v>
      </c>
      <c r="R13" s="68">
        <f>VLOOKUP(UNIFAEL.[[#This Row],[CURSO]],'[1]POS_VIVO_0112 a 3101_CAMP. REG)'!$F$5:$I$113,4,FALSE)</f>
        <v>19</v>
      </c>
      <c r="S13" s="73">
        <f>VLOOKUP(UNIFAEL.[[#This Row],[CURSO]],'[1]POS_VIVO_0112 a 3101_CAMP. REG)'!$F$5:$J$113,5,FALSE)</f>
        <v>320.59937400000007</v>
      </c>
      <c r="T13" s="124">
        <f>VLOOKUP(UNIFAEL.[[#This Row],[CURSO]],'[1]POS_VIVO_0112 a 3101_CAMP. REG)'!$F$5:$L$113,7,FALSE)</f>
        <v>0.5</v>
      </c>
      <c r="U13" s="73">
        <f>VLOOKUP(UNIFAEL.[[#This Row],[CURSO]],'[1]POS_VIVO_0112 a 3101_CAMP. REG)'!$F$5:$M$113,8,FALSE)</f>
        <v>144.27000000000001</v>
      </c>
      <c r="V13" s="72">
        <f>VLOOKUP(UNIFAEL.[[#This Row],[CURSO]],'[1]POS_VIVO_0112 a 3101_CAMP. REG)'!$F$5:$P$113,11,FALSE)</f>
        <v>0.55000000000000004</v>
      </c>
      <c r="W13" s="73">
        <f>VLOOKUP(UNIFAEL.[[#This Row],[CURSO]],'[1]POS_VIVO_0112 a 3101_CAMP. REG)'!$F$5:$Q$113,12,FALSE)</f>
        <v>129.84</v>
      </c>
      <c r="X13" s="75">
        <f>UNIFAEL.[[#This Row],[Nº Parcelas]]</f>
        <v>19</v>
      </c>
      <c r="Y13" s="75">
        <f>UNIFAEL.[[#This Row],[Nº Parcelas normal2]]-1</f>
        <v>18</v>
      </c>
      <c r="Z13" s="73">
        <f>UNIFAEL.[[#This Row],[$ NORMAL]]</f>
        <v>320.59937400000007</v>
      </c>
      <c r="AA13" s="72">
        <f>UNIFAEL.[[#This Row],[%  SITE]]</f>
        <v>0.5</v>
      </c>
      <c r="AB13" s="73">
        <f>UNIFAEL.[[#This Row],[$ SITE]]</f>
        <v>144.27000000000001</v>
      </c>
      <c r="AC13" s="72">
        <f>UNIFAEL.[[#This Row],[%  SGP]]</f>
        <v>0.55000000000000004</v>
      </c>
      <c r="AD13" s="73">
        <f>UNIFAEL.[[#This Row],[$ SGP]]</f>
        <v>129.84</v>
      </c>
      <c r="AE13" s="69" t="s">
        <v>371</v>
      </c>
      <c r="AF13" s="69" t="s">
        <v>372</v>
      </c>
      <c r="AH13" s="121" t="s">
        <v>327</v>
      </c>
      <c r="AI13" s="69" t="s">
        <v>19</v>
      </c>
      <c r="AJ13" s="69" t="str">
        <f>VLOOKUP(UNAMA.[[#This Row],[PARCELA MATRICULA NÃO PAGA]],'[1]POS_VIVO_0112 a 3101_CAMP. REG)'!$F$115:$G$222,2,FALSE)</f>
        <v>Tecnologia/Engenharia</v>
      </c>
      <c r="AK13" s="69">
        <f>VLOOKUP(UNAMA.[[#This Row],[PARCELA MATRICULA NÃO PAGA]],'[1]POS_VIVO_0112 a 3101_CAMP. REG)'!$F$115:$H$222,3,FALSE)</f>
        <v>15</v>
      </c>
      <c r="AL13" s="69">
        <f>VLOOKUP(UNAMA.[[#This Row],[PARCELA MATRICULA NÃO PAGA]],'[1]POS_VIVO_0112 a 3101_CAMP. REG)'!$F$115:$I$222,4,FALSE)</f>
        <v>19</v>
      </c>
      <c r="AM13" s="73">
        <f>VLOOKUP(UNAMA.[[#This Row],[PARCELA MATRICULA NÃO PAGA]],'[1]POS_VIVO_0112 a 3101_CAMP. REG)'!$F$115:$J$222,5,FALSE)</f>
        <v>352.66770900000006</v>
      </c>
      <c r="AN13" s="123">
        <f>VLOOKUP(UNAMA.[[#This Row],[PARCELA MATRICULA NÃO PAGA]],'[1]POS_VIVO_0112 a 3101_CAMP. REG)'!$F$115:$L$222,7,FALSE)</f>
        <v>0.5</v>
      </c>
      <c r="AO13" s="73">
        <f>VLOOKUP(UNAMA.[[#This Row],[PARCELA MATRICULA NÃO PAGA]],'[1]POS_VIVO_0112 a 3101_CAMP. REG)'!$F$115:$M$222,8,FALSE)</f>
        <v>158.69999999999999</v>
      </c>
      <c r="AP13" s="72">
        <f>VLOOKUP(UNAMA.[[#This Row],[PARCELA MATRICULA NÃO PAGA]],'[1]POS_VIVO_0112 a 3101_CAMP. REG)'!$F$115:$P$222,11,FALSE)</f>
        <v>0.55000000000000004</v>
      </c>
      <c r="AQ13" s="73">
        <f>VLOOKUP(UNAMA.[[#This Row],[PARCELA MATRICULA NÃO PAGA]],'[1]POS_VIVO_0112 a 3101_CAMP. REG)'!$F$115:$Q$222,12,FALSE)</f>
        <v>142.83000000000001</v>
      </c>
      <c r="AR13" s="68">
        <f>UNAMA.[[#This Row],[Nº Parcelas]]</f>
        <v>19</v>
      </c>
      <c r="AS13" s="68">
        <f>UNAMA.[[#This Row],[Nº Parcelas normal2]]-1</f>
        <v>18</v>
      </c>
      <c r="AT13" s="71">
        <f>UNAMA.[[#This Row],[$ NORMAL]]</f>
        <v>352.66770900000006</v>
      </c>
      <c r="AU13" s="162">
        <f>UNAMA.[[#This Row],[%  SITE]]</f>
        <v>0.5</v>
      </c>
      <c r="AV13" s="161">
        <f>UNAMA.[[#This Row],[$ SITE]]</f>
        <v>158.69999999999999</v>
      </c>
      <c r="AW13" s="162">
        <f>UNAMA.[[#This Row],[%  SGP]]</f>
        <v>0.55000000000000004</v>
      </c>
      <c r="AX13" s="161">
        <f>UNAMA.[[#This Row],[$ SGP]]</f>
        <v>142.83000000000001</v>
      </c>
      <c r="AY13" s="69" t="s">
        <v>351</v>
      </c>
      <c r="AZ13" s="69" t="s">
        <v>372</v>
      </c>
      <c r="BB13" s="121" t="s">
        <v>327</v>
      </c>
      <c r="BC13" s="69" t="s">
        <v>19</v>
      </c>
      <c r="BD13" s="69" t="str">
        <f>VLOOKUP(UNG.[[#This Row],[CURSO]],'[1]POS_VIVO_0112 a 3101_CAMP. REG)'!$F$224:$G$331,2,FALSE)</f>
        <v>Tecnologia/Engenharia</v>
      </c>
      <c r="BE13" s="68">
        <f>VLOOKUP(UNG.[[#This Row],[CURSO]],'[1]POS_VIVO_0112 a 3101_CAMP. REG)'!$F$224:$H$331,3,FALSE)</f>
        <v>15</v>
      </c>
      <c r="BF13" s="68">
        <f>VLOOKUP(UNG.[[#This Row],[CURSO]],'[1]POS_VIVO_0112 a 3101_CAMP. REG)'!$F$224:$I$331,4,FALSE)</f>
        <v>19</v>
      </c>
      <c r="BG13" s="73">
        <f>VLOOKUP(UNG.[[#This Row],[CURSO]],'[1]POS_VIVO_0112 a 3101_CAMP. REG)'!$F$224:$J$331,5,FALSE)</f>
        <v>320.59937400000007</v>
      </c>
      <c r="BH13" s="72">
        <f>VLOOKUP(UNG.[[#This Row],[CURSO]],'[1]POS_VIVO_0112 a 3101_CAMP. REG)'!$F$224:$L$331,7,FALSE)</f>
        <v>0.5</v>
      </c>
      <c r="BI13" s="73">
        <f>VLOOKUP(UNG.[[#This Row],[CURSO]],'[1]POS_VIVO_0112 a 3101_CAMP. REG)'!$F$224:$M$331,8,FALSE)</f>
        <v>144.27000000000001</v>
      </c>
      <c r="BJ13" s="72">
        <f>VLOOKUP(UNG.[[#This Row],[CURSO]],'[1]POS_VIVO_0112 a 3101_CAMP. REG)'!$F$224:$P$331,11,FALSE)</f>
        <v>0.55000000000000004</v>
      </c>
      <c r="BK13" s="73">
        <f>VLOOKUP(UNG.[[#This Row],[CURSO]],'[1]POS_VIVO_0112 a 3101_CAMP. REG)'!$F$224:$Q$331,12,FALSE)</f>
        <v>129.84</v>
      </c>
      <c r="BL13" s="75">
        <f>UNG.[[#This Row],[Nº Parcelas]]</f>
        <v>19</v>
      </c>
      <c r="BM13" s="75">
        <f>UNG.[[#This Row],[Nº Parcelas normal2]]-1</f>
        <v>18</v>
      </c>
      <c r="BN13" s="73">
        <f>UNG.[[#This Row],[$ NORMAL]]</f>
        <v>320.59937400000007</v>
      </c>
      <c r="BO13" s="72">
        <f>UNG.[[#This Row],[%  SITE]]</f>
        <v>0.5</v>
      </c>
      <c r="BP13" s="73">
        <f>UNG.[[#This Row],[$ SITE]]</f>
        <v>144.27000000000001</v>
      </c>
      <c r="BQ13" s="72">
        <f>UNG.[[#This Row],[%  SGP]]</f>
        <v>0.55000000000000004</v>
      </c>
      <c r="BR13" s="73">
        <f>UNG.[[#This Row],[$ SGP]]</f>
        <v>129.84</v>
      </c>
      <c r="BS13" s="69" t="s">
        <v>351</v>
      </c>
      <c r="BT13" s="69" t="s">
        <v>372</v>
      </c>
      <c r="BV13" s="121" t="s">
        <v>327</v>
      </c>
      <c r="BW13" s="69" t="s">
        <v>19</v>
      </c>
      <c r="BX13" s="69" t="str">
        <f>VLOOKUP(UNINASSAU.[[#This Row],[CURSO]],'[1]POS_VIVO_0112 a 3101_CAMP. REG)'!$F$333:$G$447,2,FALSE)</f>
        <v>Tecnologia/Engenharia</v>
      </c>
      <c r="BY13" s="68">
        <f>VLOOKUP(UNINASSAU.[[#This Row],[CURSO]],'[1]POS_VIVO_0112 a 3101_CAMP. REG)'!$F$333:$H$447,3,FALSE)</f>
        <v>15</v>
      </c>
      <c r="BZ13" s="68">
        <f>VLOOKUP(UNINASSAU.[[#This Row],[CURSO]],'[1]POS_VIVO_0112 a 3101_CAMP. REG)'!$F$333:$I$447,4,FALSE)</f>
        <v>19</v>
      </c>
      <c r="CA13" s="73">
        <f>VLOOKUP(UNINASSAU.[[#This Row],[CURSO]],'[1]POS_VIVO_0112 a 3101_CAMP. REG)'!$F$333:$J$447,5,FALSE)</f>
        <v>320.59937400000007</v>
      </c>
      <c r="CB13" s="72">
        <f>VLOOKUP(UNINASSAU.[[#This Row],[CURSO]],'[1]POS_VIVO_0112 a 3101_CAMP. REG)'!$F$333:$L$447,7,FALSE)</f>
        <v>0.5</v>
      </c>
      <c r="CC13" s="73">
        <f>VLOOKUP(UNINASSAU.[[#This Row],[CURSO]],'[1]POS_VIVO_0112 a 3101_CAMP. REG)'!$F$333:$M$447,8,FALSE)</f>
        <v>144.27000000000001</v>
      </c>
      <c r="CD13" s="72">
        <f>VLOOKUP(UNINASSAU.[[#This Row],[CURSO]],'[1]POS_VIVO_0112 a 3101_CAMP. REG)'!$F$333:$P$447,11,FALSE)</f>
        <v>0.55000000000000004</v>
      </c>
      <c r="CE13" s="73">
        <f>VLOOKUP(UNINASSAU.[[#This Row],[CURSO]],'[1]POS_VIVO_0112 a 3101_CAMP. REG)'!$F$333:$Q$447,12,FALSE)</f>
        <v>129.84</v>
      </c>
      <c r="CF13" s="75">
        <f>UNINASSAU.[[#This Row],[Nº Parcelas]]</f>
        <v>19</v>
      </c>
      <c r="CG13" s="75">
        <f>UNINASSAU.[[#This Row],[Nº Parcelas normal2]]-1</f>
        <v>18</v>
      </c>
      <c r="CH13" s="73">
        <f>UNINASSAU.[[#This Row],[$ NORMAL]]</f>
        <v>320.59937400000007</v>
      </c>
      <c r="CI13" s="72">
        <f>UNINASSAU.[[#This Row],[%  SITE]]</f>
        <v>0.5</v>
      </c>
      <c r="CJ13" s="73">
        <f>UNINASSAU.[[#This Row],[$ SITE]]</f>
        <v>144.27000000000001</v>
      </c>
      <c r="CK13" s="72">
        <f>UNINASSAU.[[#This Row],[%  SGP]]</f>
        <v>0.55000000000000004</v>
      </c>
      <c r="CL13" s="73">
        <f>UNINASSAU.[[#This Row],[$ SGP]]</f>
        <v>129.84</v>
      </c>
      <c r="CM13" s="69" t="s">
        <v>351</v>
      </c>
      <c r="CN13" s="69" t="s">
        <v>372</v>
      </c>
      <c r="CP13" s="104">
        <v>10</v>
      </c>
      <c r="CQ13" s="121" t="s">
        <v>266</v>
      </c>
      <c r="CR13" s="67"/>
    </row>
    <row r="14" spans="1:109" ht="16.5" customHeight="1" x14ac:dyDescent="0.3">
      <c r="A14" s="47"/>
      <c r="B14" s="17"/>
      <c r="C14" s="17"/>
      <c r="D14" s="166" t="s">
        <v>26</v>
      </c>
      <c r="E14" s="166"/>
      <c r="F14" s="166"/>
      <c r="G14" s="166"/>
      <c r="H14" s="17"/>
      <c r="I14" s="19"/>
      <c r="J14" s="1"/>
      <c r="K14" s="1"/>
      <c r="N14" s="121" t="s">
        <v>324</v>
      </c>
      <c r="O14" s="69" t="s">
        <v>19</v>
      </c>
      <c r="P14" s="69" t="str">
        <f>VLOOKUP(UNIFAEL.[[#This Row],[CURSO]],'[1]POS_VIVO_0112 a 3101_CAMP. REG)'!$F$5:$G$113,2,FALSE)</f>
        <v>Direito</v>
      </c>
      <c r="Q14" s="68">
        <f>VLOOKUP(UNIFAEL.[[#This Row],[CURSO]],'[1]POS_VIVO_0112 a 3101_CAMP. REG)'!$F$5:$H$113,3,FALSE)</f>
        <v>12</v>
      </c>
      <c r="R14" s="68">
        <f>VLOOKUP(UNIFAEL.[[#This Row],[CURSO]],'[1]POS_VIVO_0112 a 3101_CAMP. REG)'!$F$5:$I$113,4,FALSE)</f>
        <v>19</v>
      </c>
      <c r="S14" s="73">
        <f>VLOOKUP(UNIFAEL.[[#This Row],[CURSO]],'[1]POS_VIVO_0112 a 3101_CAMP. REG)'!$F$5:$J$113,5,FALSE)</f>
        <v>262.27804200000003</v>
      </c>
      <c r="T14" s="124">
        <f>VLOOKUP(UNIFAEL.[[#This Row],[CURSO]],'[1]POS_VIVO_0112 a 3101_CAMP. REG)'!$F$5:$L$113,7,FALSE)</f>
        <v>0.5</v>
      </c>
      <c r="U14" s="73">
        <f>VLOOKUP(UNIFAEL.[[#This Row],[CURSO]],'[1]POS_VIVO_0112 a 3101_CAMP. REG)'!$F$5:$M$113,8,FALSE)</f>
        <v>118.03</v>
      </c>
      <c r="V14" s="72">
        <f>VLOOKUP(UNIFAEL.[[#This Row],[CURSO]],'[1]POS_VIVO_0112 a 3101_CAMP. REG)'!$F$5:$P$113,11,FALSE)</f>
        <v>0.55000000000000004</v>
      </c>
      <c r="W14" s="73">
        <f>VLOOKUP(UNIFAEL.[[#This Row],[CURSO]],'[1]POS_VIVO_0112 a 3101_CAMP. REG)'!$F$5:$Q$113,12,FALSE)</f>
        <v>106.22</v>
      </c>
      <c r="X14" s="75">
        <f>UNIFAEL.[[#This Row],[Nº Parcelas]]</f>
        <v>19</v>
      </c>
      <c r="Y14" s="75">
        <f>UNIFAEL.[[#This Row],[Nº Parcelas normal2]]-1</f>
        <v>18</v>
      </c>
      <c r="Z14" s="73">
        <f>UNIFAEL.[[#This Row],[$ NORMAL]]</f>
        <v>262.27804200000003</v>
      </c>
      <c r="AA14" s="72">
        <f>UNIFAEL.[[#This Row],[%  SITE]]</f>
        <v>0.5</v>
      </c>
      <c r="AB14" s="73">
        <f>UNIFAEL.[[#This Row],[$ SITE]]</f>
        <v>118.03</v>
      </c>
      <c r="AC14" s="72">
        <f>UNIFAEL.[[#This Row],[%  SGP]]</f>
        <v>0.55000000000000004</v>
      </c>
      <c r="AD14" s="73">
        <f>UNIFAEL.[[#This Row],[$ SGP]]</f>
        <v>106.22</v>
      </c>
      <c r="AE14" s="69" t="s">
        <v>371</v>
      </c>
      <c r="AF14" s="69" t="s">
        <v>372</v>
      </c>
      <c r="AH14" s="121" t="s">
        <v>324</v>
      </c>
      <c r="AI14" s="69" t="s">
        <v>19</v>
      </c>
      <c r="AJ14" s="69" t="str">
        <f>VLOOKUP(UNAMA.[[#This Row],[PARCELA MATRICULA NÃO PAGA]],'[1]POS_VIVO_0112 a 3101_CAMP. REG)'!$F$115:$G$222,2,FALSE)</f>
        <v>Direito</v>
      </c>
      <c r="AK14" s="69">
        <f>VLOOKUP(UNAMA.[[#This Row],[PARCELA MATRICULA NÃO PAGA]],'[1]POS_VIVO_0112 a 3101_CAMP. REG)'!$F$115:$H$222,3,FALSE)</f>
        <v>12</v>
      </c>
      <c r="AL14" s="69">
        <f>VLOOKUP(UNAMA.[[#This Row],[PARCELA MATRICULA NÃO PAGA]],'[1]POS_VIVO_0112 a 3101_CAMP. REG)'!$F$115:$I$222,4,FALSE)</f>
        <v>19</v>
      </c>
      <c r="AM14" s="73">
        <f>VLOOKUP(UNAMA.[[#This Row],[PARCELA MATRICULA NÃO PAGA]],'[1]POS_VIVO_0112 a 3101_CAMP. REG)'!$F$115:$J$222,5,FALSE)</f>
        <v>291.43870800000002</v>
      </c>
      <c r="AN14" s="123">
        <f>VLOOKUP(UNAMA.[[#This Row],[PARCELA MATRICULA NÃO PAGA]],'[1]POS_VIVO_0112 a 3101_CAMP. REG)'!$F$115:$L$222,7,FALSE)</f>
        <v>0.5</v>
      </c>
      <c r="AO14" s="73">
        <f>VLOOKUP(UNAMA.[[#This Row],[PARCELA MATRICULA NÃO PAGA]],'[1]POS_VIVO_0112 a 3101_CAMP. REG)'!$F$115:$M$222,8,FALSE)</f>
        <v>131.15</v>
      </c>
      <c r="AP14" s="72">
        <f>VLOOKUP(UNAMA.[[#This Row],[PARCELA MATRICULA NÃO PAGA]],'[1]POS_VIVO_0112 a 3101_CAMP. REG)'!$F$115:$P$222,11,FALSE)</f>
        <v>0.55000000000000004</v>
      </c>
      <c r="AQ14" s="73">
        <f>VLOOKUP(UNAMA.[[#This Row],[PARCELA MATRICULA NÃO PAGA]],'[1]POS_VIVO_0112 a 3101_CAMP. REG)'!$F$115:$Q$222,12,FALSE)</f>
        <v>118.03</v>
      </c>
      <c r="AR14" s="68">
        <f>UNAMA.[[#This Row],[Nº Parcelas]]</f>
        <v>19</v>
      </c>
      <c r="AS14" s="68">
        <f>UNAMA.[[#This Row],[Nº Parcelas normal2]]-1</f>
        <v>18</v>
      </c>
      <c r="AT14" s="71">
        <f>UNAMA.[[#This Row],[$ NORMAL]]</f>
        <v>291.43870800000002</v>
      </c>
      <c r="AU14" s="162">
        <f>UNAMA.[[#This Row],[%  SITE]]</f>
        <v>0.5</v>
      </c>
      <c r="AV14" s="161">
        <f>UNAMA.[[#This Row],[$ SITE]]</f>
        <v>131.15</v>
      </c>
      <c r="AW14" s="162">
        <f>UNAMA.[[#This Row],[%  SGP]]</f>
        <v>0.55000000000000004</v>
      </c>
      <c r="AX14" s="161">
        <f>UNAMA.[[#This Row],[$ SGP]]</f>
        <v>118.03</v>
      </c>
      <c r="AY14" s="69" t="s">
        <v>351</v>
      </c>
      <c r="AZ14" s="69" t="s">
        <v>372</v>
      </c>
      <c r="BB14" s="121" t="s">
        <v>324</v>
      </c>
      <c r="BC14" s="69" t="s">
        <v>19</v>
      </c>
      <c r="BD14" s="69" t="str">
        <f>VLOOKUP(UNG.[[#This Row],[CURSO]],'[1]POS_VIVO_0112 a 3101_CAMP. REG)'!$F$224:$G$331,2,FALSE)</f>
        <v>Direito</v>
      </c>
      <c r="BE14" s="68">
        <f>VLOOKUP(UNG.[[#This Row],[CURSO]],'[1]POS_VIVO_0112 a 3101_CAMP. REG)'!$F$224:$H$331,3,FALSE)</f>
        <v>12</v>
      </c>
      <c r="BF14" s="68">
        <f>VLOOKUP(UNG.[[#This Row],[CURSO]],'[1]POS_VIVO_0112 a 3101_CAMP. REG)'!$F$224:$I$331,4,FALSE)</f>
        <v>19</v>
      </c>
      <c r="BG14" s="73">
        <f>VLOOKUP(UNG.[[#This Row],[CURSO]],'[1]POS_VIVO_0112 a 3101_CAMP. REG)'!$F$224:$J$331,5,FALSE)</f>
        <v>262.27804200000003</v>
      </c>
      <c r="BH14" s="72">
        <f>VLOOKUP(UNG.[[#This Row],[CURSO]],'[1]POS_VIVO_0112 a 3101_CAMP. REG)'!$F$224:$L$331,7,FALSE)</f>
        <v>0.5</v>
      </c>
      <c r="BI14" s="73">
        <f>VLOOKUP(UNG.[[#This Row],[CURSO]],'[1]POS_VIVO_0112 a 3101_CAMP. REG)'!$F$224:$M$331,8,FALSE)</f>
        <v>118.03</v>
      </c>
      <c r="BJ14" s="72">
        <f>VLOOKUP(UNG.[[#This Row],[CURSO]],'[1]POS_VIVO_0112 a 3101_CAMP. REG)'!$F$224:$P$331,11,FALSE)</f>
        <v>0.55000000000000004</v>
      </c>
      <c r="BK14" s="73">
        <f>VLOOKUP(UNG.[[#This Row],[CURSO]],'[1]POS_VIVO_0112 a 3101_CAMP. REG)'!$F$224:$Q$331,12,FALSE)</f>
        <v>106.22</v>
      </c>
      <c r="BL14" s="75">
        <f>UNG.[[#This Row],[Nº Parcelas]]</f>
        <v>19</v>
      </c>
      <c r="BM14" s="75">
        <f>UNG.[[#This Row],[Nº Parcelas normal2]]-1</f>
        <v>18</v>
      </c>
      <c r="BN14" s="73">
        <f>UNG.[[#This Row],[$ NORMAL]]</f>
        <v>262.27804200000003</v>
      </c>
      <c r="BO14" s="72">
        <f>UNG.[[#This Row],[%  SITE]]</f>
        <v>0.5</v>
      </c>
      <c r="BP14" s="73">
        <f>UNG.[[#This Row],[$ SITE]]</f>
        <v>118.03</v>
      </c>
      <c r="BQ14" s="72">
        <f>UNG.[[#This Row],[%  SGP]]</f>
        <v>0.55000000000000004</v>
      </c>
      <c r="BR14" s="73">
        <f>UNG.[[#This Row],[$ SGP]]</f>
        <v>106.22</v>
      </c>
      <c r="BS14" s="69" t="s">
        <v>351</v>
      </c>
      <c r="BT14" s="69" t="s">
        <v>372</v>
      </c>
      <c r="BV14" s="121" t="s">
        <v>324</v>
      </c>
      <c r="BW14" s="69" t="s">
        <v>19</v>
      </c>
      <c r="BX14" s="69" t="str">
        <f>VLOOKUP(UNINASSAU.[[#This Row],[CURSO]],'[1]POS_VIVO_0112 a 3101_CAMP. REG)'!$F$333:$G$447,2,FALSE)</f>
        <v>Direito</v>
      </c>
      <c r="BY14" s="68">
        <f>VLOOKUP(UNINASSAU.[[#This Row],[CURSO]],'[1]POS_VIVO_0112 a 3101_CAMP. REG)'!$F$333:$H$447,3,FALSE)</f>
        <v>12</v>
      </c>
      <c r="BZ14" s="68">
        <f>VLOOKUP(UNINASSAU.[[#This Row],[CURSO]],'[1]POS_VIVO_0112 a 3101_CAMP. REG)'!$F$333:$I$447,4,FALSE)</f>
        <v>19</v>
      </c>
      <c r="CA14" s="73">
        <f>VLOOKUP(UNINASSAU.[[#This Row],[CURSO]],'[1]POS_VIVO_0112 a 3101_CAMP. REG)'!$F$333:$J$447,5,FALSE)</f>
        <v>262.27804200000003</v>
      </c>
      <c r="CB14" s="72">
        <f>VLOOKUP(UNINASSAU.[[#This Row],[CURSO]],'[1]POS_VIVO_0112 a 3101_CAMP. REG)'!$F$333:$L$447,7,FALSE)</f>
        <v>0.5</v>
      </c>
      <c r="CC14" s="73">
        <f>VLOOKUP(UNINASSAU.[[#This Row],[CURSO]],'[1]POS_VIVO_0112 a 3101_CAMP. REG)'!$F$333:$M$447,8,FALSE)</f>
        <v>118.03</v>
      </c>
      <c r="CD14" s="72">
        <f>VLOOKUP(UNINASSAU.[[#This Row],[CURSO]],'[1]POS_VIVO_0112 a 3101_CAMP. REG)'!$F$333:$P$447,11,FALSE)</f>
        <v>0.55000000000000004</v>
      </c>
      <c r="CE14" s="73">
        <f>VLOOKUP(UNINASSAU.[[#This Row],[CURSO]],'[1]POS_VIVO_0112 a 3101_CAMP. REG)'!$F$333:$Q$447,12,FALSE)</f>
        <v>106.22</v>
      </c>
      <c r="CF14" s="75">
        <f>UNINASSAU.[[#This Row],[Nº Parcelas]]</f>
        <v>19</v>
      </c>
      <c r="CG14" s="75">
        <f>UNINASSAU.[[#This Row],[Nº Parcelas normal2]]-1</f>
        <v>18</v>
      </c>
      <c r="CH14" s="73">
        <f>UNINASSAU.[[#This Row],[$ NORMAL]]</f>
        <v>262.27804200000003</v>
      </c>
      <c r="CI14" s="72">
        <f>UNINASSAU.[[#This Row],[%  SITE]]</f>
        <v>0.5</v>
      </c>
      <c r="CJ14" s="73">
        <f>UNINASSAU.[[#This Row],[$ SITE]]</f>
        <v>118.03</v>
      </c>
      <c r="CK14" s="72">
        <f>UNINASSAU.[[#This Row],[%  SGP]]</f>
        <v>0.55000000000000004</v>
      </c>
      <c r="CL14" s="73">
        <f>UNINASSAU.[[#This Row],[$ SGP]]</f>
        <v>106.22</v>
      </c>
      <c r="CM14" s="69" t="s">
        <v>351</v>
      </c>
      <c r="CN14" s="69" t="s">
        <v>372</v>
      </c>
      <c r="CP14" s="104">
        <v>11</v>
      </c>
      <c r="CQ14" s="121" t="s">
        <v>363</v>
      </c>
      <c r="CR14" s="67"/>
    </row>
    <row r="15" spans="1:109" ht="16.5" customHeight="1" x14ac:dyDescent="0.25">
      <c r="A15" s="48"/>
      <c r="B15" s="28"/>
      <c r="C15" s="28"/>
      <c r="D15" s="39" t="s">
        <v>27</v>
      </c>
      <c r="E15" s="169" t="s">
        <v>28</v>
      </c>
      <c r="F15" s="169"/>
      <c r="G15" s="40" t="s">
        <v>29</v>
      </c>
      <c r="H15" s="28"/>
      <c r="I15" s="29"/>
      <c r="J15" s="8"/>
      <c r="K15" s="8"/>
      <c r="L15" s="69"/>
      <c r="M15" s="69"/>
      <c r="N15" s="121" t="s">
        <v>326</v>
      </c>
      <c r="O15" s="69" t="s">
        <v>19</v>
      </c>
      <c r="P15" s="69" t="str">
        <f>VLOOKUP(UNIFAEL.[[#This Row],[CURSO]],'[1]POS_VIVO_0112 a 3101_CAMP. REG)'!$F$5:$G$113,2,FALSE)</f>
        <v>Gestão</v>
      </c>
      <c r="Q15" s="68">
        <f>VLOOKUP(UNIFAEL.[[#This Row],[CURSO]],'[1]POS_VIVO_0112 a 3101_CAMP. REG)'!$F$5:$H$113,3,FALSE)</f>
        <v>12</v>
      </c>
      <c r="R15" s="68">
        <f>VLOOKUP(UNIFAEL.[[#This Row],[CURSO]],'[1]POS_VIVO_0112 a 3101_CAMP. REG)'!$F$5:$I$113,4,FALSE)</f>
        <v>19</v>
      </c>
      <c r="S15" s="73">
        <f>VLOOKUP(UNIFAEL.[[#This Row],[CURSO]],'[1]POS_VIVO_0112 a 3101_CAMP. REG)'!$F$5:$J$113,5,FALSE)</f>
        <v>320.59937400000007</v>
      </c>
      <c r="T15" s="124">
        <f>VLOOKUP(UNIFAEL.[[#This Row],[CURSO]],'[1]POS_VIVO_0112 a 3101_CAMP. REG)'!$F$5:$L$113,7,FALSE)</f>
        <v>0.5</v>
      </c>
      <c r="U15" s="73">
        <f>VLOOKUP(UNIFAEL.[[#This Row],[CURSO]],'[1]POS_VIVO_0112 a 3101_CAMP. REG)'!$F$5:$M$113,8,FALSE)</f>
        <v>144.27000000000001</v>
      </c>
      <c r="V15" s="72">
        <f>VLOOKUP(UNIFAEL.[[#This Row],[CURSO]],'[1]POS_VIVO_0112 a 3101_CAMP. REG)'!$F$5:$P$113,11,FALSE)</f>
        <v>0.55000000000000004</v>
      </c>
      <c r="W15" s="73">
        <f>VLOOKUP(UNIFAEL.[[#This Row],[CURSO]],'[1]POS_VIVO_0112 a 3101_CAMP. REG)'!$F$5:$Q$113,12,FALSE)</f>
        <v>129.84</v>
      </c>
      <c r="X15" s="75">
        <f>UNIFAEL.[[#This Row],[Nº Parcelas]]</f>
        <v>19</v>
      </c>
      <c r="Y15" s="75">
        <f>UNIFAEL.[[#This Row],[Nº Parcelas normal2]]-1</f>
        <v>18</v>
      </c>
      <c r="Z15" s="73">
        <f>UNIFAEL.[[#This Row],[$ NORMAL]]</f>
        <v>320.59937400000007</v>
      </c>
      <c r="AA15" s="72">
        <f>UNIFAEL.[[#This Row],[%  SITE]]</f>
        <v>0.5</v>
      </c>
      <c r="AB15" s="73">
        <f>UNIFAEL.[[#This Row],[$ SITE]]</f>
        <v>144.27000000000001</v>
      </c>
      <c r="AC15" s="72">
        <f>UNIFAEL.[[#This Row],[%  SGP]]</f>
        <v>0.55000000000000004</v>
      </c>
      <c r="AD15" s="73">
        <f>UNIFAEL.[[#This Row],[$ SGP]]</f>
        <v>129.84</v>
      </c>
      <c r="AE15" s="69" t="s">
        <v>371</v>
      </c>
      <c r="AF15" s="69" t="s">
        <v>372</v>
      </c>
      <c r="AH15" s="121" t="s">
        <v>326</v>
      </c>
      <c r="AI15" s="69" t="s">
        <v>19</v>
      </c>
      <c r="AJ15" s="69" t="str">
        <f>VLOOKUP(UNAMA.[[#This Row],[PARCELA MATRICULA NÃO PAGA]],'[1]POS_VIVO_0112 a 3101_CAMP. REG)'!$F$115:$G$222,2,FALSE)</f>
        <v>Gestão</v>
      </c>
      <c r="AK15" s="69">
        <f>VLOOKUP(UNAMA.[[#This Row],[PARCELA MATRICULA NÃO PAGA]],'[1]POS_VIVO_0112 a 3101_CAMP. REG)'!$F$115:$H$222,3,FALSE)</f>
        <v>12</v>
      </c>
      <c r="AL15" s="69">
        <f>VLOOKUP(UNAMA.[[#This Row],[PARCELA MATRICULA NÃO PAGA]],'[1]POS_VIVO_0112 a 3101_CAMP. REG)'!$F$115:$I$222,4,FALSE)</f>
        <v>19</v>
      </c>
      <c r="AM15" s="73">
        <f>VLOOKUP(UNAMA.[[#This Row],[PARCELA MATRICULA NÃO PAGA]],'[1]POS_VIVO_0112 a 3101_CAMP. REG)'!$F$115:$J$222,5,FALSE)</f>
        <v>352.66770900000006</v>
      </c>
      <c r="AN15" s="123">
        <f>VLOOKUP(UNAMA.[[#This Row],[PARCELA MATRICULA NÃO PAGA]],'[1]POS_VIVO_0112 a 3101_CAMP. REG)'!$F$115:$L$222,7,FALSE)</f>
        <v>0.5</v>
      </c>
      <c r="AO15" s="73">
        <f>VLOOKUP(UNAMA.[[#This Row],[PARCELA MATRICULA NÃO PAGA]],'[1]POS_VIVO_0112 a 3101_CAMP. REG)'!$F$115:$M$222,8,FALSE)</f>
        <v>158.69999999999999</v>
      </c>
      <c r="AP15" s="72">
        <f>VLOOKUP(UNAMA.[[#This Row],[PARCELA MATRICULA NÃO PAGA]],'[1]POS_VIVO_0112 a 3101_CAMP. REG)'!$F$115:$P$222,11,FALSE)</f>
        <v>0.55000000000000004</v>
      </c>
      <c r="AQ15" s="73">
        <f>VLOOKUP(UNAMA.[[#This Row],[PARCELA MATRICULA NÃO PAGA]],'[1]POS_VIVO_0112 a 3101_CAMP. REG)'!$F$115:$Q$222,12,FALSE)</f>
        <v>142.83000000000001</v>
      </c>
      <c r="AR15" s="68">
        <f>UNAMA.[[#This Row],[Nº Parcelas]]</f>
        <v>19</v>
      </c>
      <c r="AS15" s="68">
        <f>UNAMA.[[#This Row],[Nº Parcelas normal2]]-1</f>
        <v>18</v>
      </c>
      <c r="AT15" s="71">
        <f>UNAMA.[[#This Row],[$ NORMAL]]</f>
        <v>352.66770900000006</v>
      </c>
      <c r="AU15" s="162">
        <f>UNAMA.[[#This Row],[%  SITE]]</f>
        <v>0.5</v>
      </c>
      <c r="AV15" s="161">
        <f>UNAMA.[[#This Row],[$ SITE]]</f>
        <v>158.69999999999999</v>
      </c>
      <c r="AW15" s="162">
        <f>UNAMA.[[#This Row],[%  SGP]]</f>
        <v>0.55000000000000004</v>
      </c>
      <c r="AX15" s="161">
        <f>UNAMA.[[#This Row],[$ SGP]]</f>
        <v>142.83000000000001</v>
      </c>
      <c r="AY15" s="69" t="s">
        <v>351</v>
      </c>
      <c r="AZ15" s="69" t="s">
        <v>372</v>
      </c>
      <c r="BB15" s="121" t="s">
        <v>326</v>
      </c>
      <c r="BC15" s="69" t="s">
        <v>19</v>
      </c>
      <c r="BD15" s="69" t="str">
        <f>VLOOKUP(UNG.[[#This Row],[CURSO]],'[1]POS_VIVO_0112 a 3101_CAMP. REG)'!$F$224:$G$331,2,FALSE)</f>
        <v>Gestão</v>
      </c>
      <c r="BE15" s="68">
        <f>VLOOKUP(UNG.[[#This Row],[CURSO]],'[1]POS_VIVO_0112 a 3101_CAMP. REG)'!$F$224:$H$331,3,FALSE)</f>
        <v>12</v>
      </c>
      <c r="BF15" s="68">
        <f>VLOOKUP(UNG.[[#This Row],[CURSO]],'[1]POS_VIVO_0112 a 3101_CAMP. REG)'!$F$224:$I$331,4,FALSE)</f>
        <v>19</v>
      </c>
      <c r="BG15" s="73">
        <f>VLOOKUP(UNG.[[#This Row],[CURSO]],'[1]POS_VIVO_0112 a 3101_CAMP. REG)'!$F$224:$J$331,5,FALSE)</f>
        <v>320.59937400000007</v>
      </c>
      <c r="BH15" s="72">
        <f>VLOOKUP(UNG.[[#This Row],[CURSO]],'[1]POS_VIVO_0112 a 3101_CAMP. REG)'!$F$224:$L$331,7,FALSE)</f>
        <v>0.5</v>
      </c>
      <c r="BI15" s="73">
        <f>VLOOKUP(UNG.[[#This Row],[CURSO]],'[1]POS_VIVO_0112 a 3101_CAMP. REG)'!$F$224:$M$331,8,FALSE)</f>
        <v>144.27000000000001</v>
      </c>
      <c r="BJ15" s="72">
        <f>VLOOKUP(UNG.[[#This Row],[CURSO]],'[1]POS_VIVO_0112 a 3101_CAMP. REG)'!$F$224:$P$331,11,FALSE)</f>
        <v>0.55000000000000004</v>
      </c>
      <c r="BK15" s="73">
        <f>VLOOKUP(UNG.[[#This Row],[CURSO]],'[1]POS_VIVO_0112 a 3101_CAMP. REG)'!$F$224:$Q$331,12,FALSE)</f>
        <v>129.84</v>
      </c>
      <c r="BL15" s="75">
        <f>UNG.[[#This Row],[Nº Parcelas]]</f>
        <v>19</v>
      </c>
      <c r="BM15" s="75">
        <f>UNG.[[#This Row],[Nº Parcelas normal2]]-1</f>
        <v>18</v>
      </c>
      <c r="BN15" s="73">
        <f>UNG.[[#This Row],[$ NORMAL]]</f>
        <v>320.59937400000007</v>
      </c>
      <c r="BO15" s="72">
        <f>UNG.[[#This Row],[%  SITE]]</f>
        <v>0.5</v>
      </c>
      <c r="BP15" s="73">
        <f>UNG.[[#This Row],[$ SITE]]</f>
        <v>144.27000000000001</v>
      </c>
      <c r="BQ15" s="72">
        <f>UNG.[[#This Row],[%  SGP]]</f>
        <v>0.55000000000000004</v>
      </c>
      <c r="BR15" s="73">
        <f>UNG.[[#This Row],[$ SGP]]</f>
        <v>129.84</v>
      </c>
      <c r="BS15" s="69" t="s">
        <v>351</v>
      </c>
      <c r="BT15" s="69" t="s">
        <v>372</v>
      </c>
      <c r="BV15" s="121" t="s">
        <v>326</v>
      </c>
      <c r="BW15" s="69" t="s">
        <v>19</v>
      </c>
      <c r="BX15" s="69" t="str">
        <f>VLOOKUP(UNINASSAU.[[#This Row],[CURSO]],'[1]POS_VIVO_0112 a 3101_CAMP. REG)'!$F$333:$G$447,2,FALSE)</f>
        <v>Gestão</v>
      </c>
      <c r="BY15" s="68">
        <f>VLOOKUP(UNINASSAU.[[#This Row],[CURSO]],'[1]POS_VIVO_0112 a 3101_CAMP. REG)'!$F$333:$H$447,3,FALSE)</f>
        <v>12</v>
      </c>
      <c r="BZ15" s="68">
        <f>VLOOKUP(UNINASSAU.[[#This Row],[CURSO]],'[1]POS_VIVO_0112 a 3101_CAMP. REG)'!$F$333:$I$447,4,FALSE)</f>
        <v>19</v>
      </c>
      <c r="CA15" s="73">
        <f>VLOOKUP(UNINASSAU.[[#This Row],[CURSO]],'[1]POS_VIVO_0112 a 3101_CAMP. REG)'!$F$333:$J$447,5,FALSE)</f>
        <v>320.59937400000007</v>
      </c>
      <c r="CB15" s="72">
        <f>VLOOKUP(UNINASSAU.[[#This Row],[CURSO]],'[1]POS_VIVO_0112 a 3101_CAMP. REG)'!$F$333:$L$447,7,FALSE)</f>
        <v>0.5</v>
      </c>
      <c r="CC15" s="73">
        <f>VLOOKUP(UNINASSAU.[[#This Row],[CURSO]],'[1]POS_VIVO_0112 a 3101_CAMP. REG)'!$F$333:$M$447,8,FALSE)</f>
        <v>144.27000000000001</v>
      </c>
      <c r="CD15" s="72">
        <f>VLOOKUP(UNINASSAU.[[#This Row],[CURSO]],'[1]POS_VIVO_0112 a 3101_CAMP. REG)'!$F$333:$P$447,11,FALSE)</f>
        <v>0.55000000000000004</v>
      </c>
      <c r="CE15" s="73">
        <f>VLOOKUP(UNINASSAU.[[#This Row],[CURSO]],'[1]POS_VIVO_0112 a 3101_CAMP. REG)'!$F$333:$Q$447,12,FALSE)</f>
        <v>129.84</v>
      </c>
      <c r="CF15" s="75">
        <f>UNINASSAU.[[#This Row],[Nº Parcelas]]</f>
        <v>19</v>
      </c>
      <c r="CG15" s="75">
        <f>UNINASSAU.[[#This Row],[Nº Parcelas normal2]]-1</f>
        <v>18</v>
      </c>
      <c r="CH15" s="73">
        <f>UNINASSAU.[[#This Row],[$ NORMAL]]</f>
        <v>320.59937400000007</v>
      </c>
      <c r="CI15" s="72">
        <f>UNINASSAU.[[#This Row],[%  SITE]]</f>
        <v>0.5</v>
      </c>
      <c r="CJ15" s="73">
        <f>UNINASSAU.[[#This Row],[$ SITE]]</f>
        <v>144.27000000000001</v>
      </c>
      <c r="CK15" s="72">
        <f>UNINASSAU.[[#This Row],[%  SGP]]</f>
        <v>0.55000000000000004</v>
      </c>
      <c r="CL15" s="73">
        <f>UNINASSAU.[[#This Row],[$ SGP]]</f>
        <v>129.84</v>
      </c>
      <c r="CM15" s="69" t="s">
        <v>351</v>
      </c>
      <c r="CN15" s="69" t="s">
        <v>372</v>
      </c>
      <c r="CP15" s="104">
        <v>12</v>
      </c>
      <c r="CQ15" s="121" t="s">
        <v>267</v>
      </c>
      <c r="CR15" s="67"/>
    </row>
    <row r="16" spans="1:109" ht="16.5" customHeight="1" x14ac:dyDescent="0.25">
      <c r="A16" s="48"/>
      <c r="B16" s="28"/>
      <c r="C16" s="28"/>
      <c r="D16" s="41" t="str">
        <f ca="1">IF(E16&gt;0,"Sem Desconto","")</f>
        <v>Sem Desconto</v>
      </c>
      <c r="E16" s="170">
        <f ca="1">IFERROR(VLOOKUP($CS$1,INDIRECT($CW$1),6,FALSE),"")</f>
        <v>291.43870800000002</v>
      </c>
      <c r="F16" s="170"/>
      <c r="G16" s="43">
        <f ca="1">IFERROR(VLOOKUP($CS$1,INDIRECT($CW$1),5,FALSE),"")</f>
        <v>19</v>
      </c>
      <c r="H16" s="28"/>
      <c r="I16" s="29"/>
      <c r="J16" s="8"/>
      <c r="K16" s="8"/>
      <c r="L16" s="69"/>
      <c r="M16" s="69"/>
      <c r="N16" s="121" t="s">
        <v>314</v>
      </c>
      <c r="O16" s="69" t="s">
        <v>19</v>
      </c>
      <c r="P16" s="69" t="str">
        <f>VLOOKUP(UNIFAEL.[[#This Row],[CURSO]],'[1]POS_VIVO_0112 a 3101_CAMP. REG)'!$F$5:$G$113,2,FALSE)</f>
        <v>Saúde</v>
      </c>
      <c r="Q16" s="68">
        <f>VLOOKUP(UNIFAEL.[[#This Row],[CURSO]],'[1]POS_VIVO_0112 a 3101_CAMP. REG)'!$F$5:$H$113,3,FALSE)</f>
        <v>12</v>
      </c>
      <c r="R16" s="68">
        <f>VLOOKUP(UNIFAEL.[[#This Row],[CURSO]],'[1]POS_VIVO_0112 a 3101_CAMP. REG)'!$F$5:$I$113,4,FALSE)</f>
        <v>19</v>
      </c>
      <c r="S16" s="73">
        <f>VLOOKUP(UNIFAEL.[[#This Row],[CURSO]],'[1]POS_VIVO_0112 a 3101_CAMP. REG)'!$F$5:$J$113,5,FALSE)</f>
        <v>291.43870800000002</v>
      </c>
      <c r="T16" s="124">
        <f>VLOOKUP(UNIFAEL.[[#This Row],[CURSO]],'[1]POS_VIVO_0112 a 3101_CAMP. REG)'!$F$5:$L$113,7,FALSE)</f>
        <v>0.5</v>
      </c>
      <c r="U16" s="73">
        <f>VLOOKUP(UNIFAEL.[[#This Row],[CURSO]],'[1]POS_VIVO_0112 a 3101_CAMP. REG)'!$F$5:$M$113,8,FALSE)</f>
        <v>131.15</v>
      </c>
      <c r="V16" s="72">
        <f>VLOOKUP(UNIFAEL.[[#This Row],[CURSO]],'[1]POS_VIVO_0112 a 3101_CAMP. REG)'!$F$5:$P$113,11,FALSE)</f>
        <v>0.55000000000000004</v>
      </c>
      <c r="W16" s="73">
        <f>VLOOKUP(UNIFAEL.[[#This Row],[CURSO]],'[1]POS_VIVO_0112 a 3101_CAMP. REG)'!$F$5:$Q$113,12,FALSE)</f>
        <v>118.03</v>
      </c>
      <c r="X16" s="75">
        <f>UNIFAEL.[[#This Row],[Nº Parcelas]]</f>
        <v>19</v>
      </c>
      <c r="Y16" s="75">
        <f>UNIFAEL.[[#This Row],[Nº Parcelas normal2]]-1</f>
        <v>18</v>
      </c>
      <c r="Z16" s="73">
        <f>UNIFAEL.[[#This Row],[$ NORMAL]]</f>
        <v>291.43870800000002</v>
      </c>
      <c r="AA16" s="72">
        <f>UNIFAEL.[[#This Row],[%  SITE]]</f>
        <v>0.5</v>
      </c>
      <c r="AB16" s="73">
        <f>UNIFAEL.[[#This Row],[$ SITE]]</f>
        <v>131.15</v>
      </c>
      <c r="AC16" s="72">
        <f>UNIFAEL.[[#This Row],[%  SGP]]</f>
        <v>0.55000000000000004</v>
      </c>
      <c r="AD16" s="73">
        <f>UNIFAEL.[[#This Row],[$ SGP]]</f>
        <v>118.03</v>
      </c>
      <c r="AE16" s="69" t="s">
        <v>371</v>
      </c>
      <c r="AF16" s="69" t="s">
        <v>372</v>
      </c>
      <c r="AH16" s="121" t="s">
        <v>314</v>
      </c>
      <c r="AI16" s="69" t="s">
        <v>19</v>
      </c>
      <c r="AJ16" s="69" t="str">
        <f>VLOOKUP(UNAMA.[[#This Row],[PARCELA MATRICULA NÃO PAGA]],'[1]POS_VIVO_0112 a 3101_CAMP. REG)'!$F$115:$G$222,2,FALSE)</f>
        <v>Saúde</v>
      </c>
      <c r="AK16" s="69">
        <f>VLOOKUP(UNAMA.[[#This Row],[PARCELA MATRICULA NÃO PAGA]],'[1]POS_VIVO_0112 a 3101_CAMP. REG)'!$F$115:$H$222,3,FALSE)</f>
        <v>12</v>
      </c>
      <c r="AL16" s="69">
        <f>VLOOKUP(UNAMA.[[#This Row],[PARCELA MATRICULA NÃO PAGA]],'[1]POS_VIVO_0112 a 3101_CAMP. REG)'!$F$115:$I$222,4,FALSE)</f>
        <v>19</v>
      </c>
      <c r="AM16" s="73">
        <f>VLOOKUP(UNAMA.[[#This Row],[PARCELA MATRICULA NÃO PAGA]],'[1]POS_VIVO_0112 a 3101_CAMP. REG)'!$F$115:$J$222,5,FALSE)</f>
        <v>320.59937400000007</v>
      </c>
      <c r="AN16" s="123">
        <f>VLOOKUP(UNAMA.[[#This Row],[PARCELA MATRICULA NÃO PAGA]],'[1]POS_VIVO_0112 a 3101_CAMP. REG)'!$F$115:$L$222,7,FALSE)</f>
        <v>0.5</v>
      </c>
      <c r="AO16" s="73">
        <f>VLOOKUP(UNAMA.[[#This Row],[PARCELA MATRICULA NÃO PAGA]],'[1]POS_VIVO_0112 a 3101_CAMP. REG)'!$F$115:$M$222,8,FALSE)</f>
        <v>144.27000000000001</v>
      </c>
      <c r="AP16" s="72">
        <f>VLOOKUP(UNAMA.[[#This Row],[PARCELA MATRICULA NÃO PAGA]],'[1]POS_VIVO_0112 a 3101_CAMP. REG)'!$F$115:$P$222,11,FALSE)</f>
        <v>0.55000000000000004</v>
      </c>
      <c r="AQ16" s="73">
        <f>VLOOKUP(UNAMA.[[#This Row],[PARCELA MATRICULA NÃO PAGA]],'[1]POS_VIVO_0112 a 3101_CAMP. REG)'!$F$115:$Q$222,12,FALSE)</f>
        <v>129.84</v>
      </c>
      <c r="AR16" s="68">
        <f>UNAMA.[[#This Row],[Nº Parcelas]]</f>
        <v>19</v>
      </c>
      <c r="AS16" s="68">
        <f>UNAMA.[[#This Row],[Nº Parcelas normal2]]-1</f>
        <v>18</v>
      </c>
      <c r="AT16" s="71">
        <f>UNAMA.[[#This Row],[$ NORMAL]]</f>
        <v>320.59937400000007</v>
      </c>
      <c r="AU16" s="162">
        <f>UNAMA.[[#This Row],[%  SITE]]</f>
        <v>0.5</v>
      </c>
      <c r="AV16" s="161">
        <f>UNAMA.[[#This Row],[$ SITE]]</f>
        <v>144.27000000000001</v>
      </c>
      <c r="AW16" s="162">
        <f>UNAMA.[[#This Row],[%  SGP]]</f>
        <v>0.55000000000000004</v>
      </c>
      <c r="AX16" s="161">
        <f>UNAMA.[[#This Row],[$ SGP]]</f>
        <v>129.84</v>
      </c>
      <c r="AY16" s="69" t="s">
        <v>351</v>
      </c>
      <c r="AZ16" s="69" t="s">
        <v>372</v>
      </c>
      <c r="BB16" s="121" t="s">
        <v>314</v>
      </c>
      <c r="BC16" s="69" t="s">
        <v>19</v>
      </c>
      <c r="BD16" s="69" t="str">
        <f>VLOOKUP(UNG.[[#This Row],[CURSO]],'[1]POS_VIVO_0112 a 3101_CAMP. REG)'!$F$224:$G$331,2,FALSE)</f>
        <v>Saúde</v>
      </c>
      <c r="BE16" s="68">
        <f>VLOOKUP(UNG.[[#This Row],[CURSO]],'[1]POS_VIVO_0112 a 3101_CAMP. REG)'!$F$224:$H$331,3,FALSE)</f>
        <v>12</v>
      </c>
      <c r="BF16" s="68">
        <f>VLOOKUP(UNG.[[#This Row],[CURSO]],'[1]POS_VIVO_0112 a 3101_CAMP. REG)'!$F$224:$I$331,4,FALSE)</f>
        <v>19</v>
      </c>
      <c r="BG16" s="73">
        <f>VLOOKUP(UNG.[[#This Row],[CURSO]],'[1]POS_VIVO_0112 a 3101_CAMP. REG)'!$F$224:$J$331,5,FALSE)</f>
        <v>291.43870800000002</v>
      </c>
      <c r="BH16" s="72">
        <f>VLOOKUP(UNG.[[#This Row],[CURSO]],'[1]POS_VIVO_0112 a 3101_CAMP. REG)'!$F$224:$L$331,7,FALSE)</f>
        <v>0.5</v>
      </c>
      <c r="BI16" s="73">
        <f>VLOOKUP(UNG.[[#This Row],[CURSO]],'[1]POS_VIVO_0112 a 3101_CAMP. REG)'!$F$224:$M$331,8,FALSE)</f>
        <v>131.15</v>
      </c>
      <c r="BJ16" s="72">
        <f>VLOOKUP(UNG.[[#This Row],[CURSO]],'[1]POS_VIVO_0112 a 3101_CAMP. REG)'!$F$224:$P$331,11,FALSE)</f>
        <v>0.55000000000000004</v>
      </c>
      <c r="BK16" s="73">
        <f>VLOOKUP(UNG.[[#This Row],[CURSO]],'[1]POS_VIVO_0112 a 3101_CAMP. REG)'!$F$224:$Q$331,12,FALSE)</f>
        <v>118.03</v>
      </c>
      <c r="BL16" s="75">
        <f>UNG.[[#This Row],[Nº Parcelas]]</f>
        <v>19</v>
      </c>
      <c r="BM16" s="75">
        <f>UNG.[[#This Row],[Nº Parcelas normal2]]-1</f>
        <v>18</v>
      </c>
      <c r="BN16" s="73">
        <f>UNG.[[#This Row],[$ NORMAL]]</f>
        <v>291.43870800000002</v>
      </c>
      <c r="BO16" s="72">
        <f>UNG.[[#This Row],[%  SITE]]</f>
        <v>0.5</v>
      </c>
      <c r="BP16" s="73">
        <f>UNG.[[#This Row],[$ SITE]]</f>
        <v>131.15</v>
      </c>
      <c r="BQ16" s="72">
        <f>UNG.[[#This Row],[%  SGP]]</f>
        <v>0.55000000000000004</v>
      </c>
      <c r="BR16" s="73">
        <f>UNG.[[#This Row],[$ SGP]]</f>
        <v>118.03</v>
      </c>
      <c r="BS16" s="69" t="s">
        <v>351</v>
      </c>
      <c r="BT16" s="69" t="s">
        <v>372</v>
      </c>
      <c r="BV16" s="121" t="s">
        <v>314</v>
      </c>
      <c r="BW16" s="69" t="s">
        <v>19</v>
      </c>
      <c r="BX16" s="69" t="str">
        <f>VLOOKUP(UNINASSAU.[[#This Row],[CURSO]],'[1]POS_VIVO_0112 a 3101_CAMP. REG)'!$F$333:$G$447,2,FALSE)</f>
        <v>Saúde</v>
      </c>
      <c r="BY16" s="68">
        <f>VLOOKUP(UNINASSAU.[[#This Row],[CURSO]],'[1]POS_VIVO_0112 a 3101_CAMP. REG)'!$F$333:$H$447,3,FALSE)</f>
        <v>12</v>
      </c>
      <c r="BZ16" s="68">
        <f>VLOOKUP(UNINASSAU.[[#This Row],[CURSO]],'[1]POS_VIVO_0112 a 3101_CAMP. REG)'!$F$333:$I$447,4,FALSE)</f>
        <v>19</v>
      </c>
      <c r="CA16" s="73">
        <f>VLOOKUP(UNINASSAU.[[#This Row],[CURSO]],'[1]POS_VIVO_0112 a 3101_CAMP. REG)'!$F$333:$J$447,5,FALSE)</f>
        <v>291.43870800000002</v>
      </c>
      <c r="CB16" s="72">
        <f>VLOOKUP(UNINASSAU.[[#This Row],[CURSO]],'[1]POS_VIVO_0112 a 3101_CAMP. REG)'!$F$333:$L$447,7,FALSE)</f>
        <v>0.5</v>
      </c>
      <c r="CC16" s="73">
        <f>VLOOKUP(UNINASSAU.[[#This Row],[CURSO]],'[1]POS_VIVO_0112 a 3101_CAMP. REG)'!$F$333:$M$447,8,FALSE)</f>
        <v>131.15</v>
      </c>
      <c r="CD16" s="72">
        <f>VLOOKUP(UNINASSAU.[[#This Row],[CURSO]],'[1]POS_VIVO_0112 a 3101_CAMP. REG)'!$F$333:$P$447,11,FALSE)</f>
        <v>0.55000000000000004</v>
      </c>
      <c r="CE16" s="73">
        <f>VLOOKUP(UNINASSAU.[[#This Row],[CURSO]],'[1]POS_VIVO_0112 a 3101_CAMP. REG)'!$F$333:$Q$447,12,FALSE)</f>
        <v>118.03</v>
      </c>
      <c r="CF16" s="75">
        <f>UNINASSAU.[[#This Row],[Nº Parcelas]]</f>
        <v>19</v>
      </c>
      <c r="CG16" s="75">
        <f>UNINASSAU.[[#This Row],[Nº Parcelas normal2]]-1</f>
        <v>18</v>
      </c>
      <c r="CH16" s="73">
        <f>UNINASSAU.[[#This Row],[$ NORMAL]]</f>
        <v>291.43870800000002</v>
      </c>
      <c r="CI16" s="72">
        <f>UNINASSAU.[[#This Row],[%  SITE]]</f>
        <v>0.5</v>
      </c>
      <c r="CJ16" s="73">
        <f>UNINASSAU.[[#This Row],[$ SITE]]</f>
        <v>131.15</v>
      </c>
      <c r="CK16" s="72">
        <f>UNINASSAU.[[#This Row],[%  SGP]]</f>
        <v>0.55000000000000004</v>
      </c>
      <c r="CL16" s="73">
        <f>UNINASSAU.[[#This Row],[$ SGP]]</f>
        <v>118.03</v>
      </c>
      <c r="CM16" s="69" t="s">
        <v>351</v>
      </c>
      <c r="CN16" s="69" t="s">
        <v>372</v>
      </c>
      <c r="CP16" s="104">
        <v>13</v>
      </c>
      <c r="CQ16" s="121" t="s">
        <v>66</v>
      </c>
      <c r="CR16" s="67"/>
    </row>
    <row r="17" spans="1:109" ht="9.9499999999999993" customHeight="1" x14ac:dyDescent="0.25">
      <c r="A17" s="47"/>
      <c r="B17" s="17"/>
      <c r="C17" s="17"/>
      <c r="D17" s="30"/>
      <c r="E17" s="18"/>
      <c r="F17" s="18"/>
      <c r="G17" s="17"/>
      <c r="H17" s="17"/>
      <c r="I17" s="19"/>
      <c r="J17" s="1"/>
      <c r="K17" s="1"/>
      <c r="N17" s="121" t="s">
        <v>305</v>
      </c>
      <c r="O17" s="69" t="s">
        <v>19</v>
      </c>
      <c r="P17" s="69" t="str">
        <f>VLOOKUP(UNIFAEL.[[#This Row],[CURSO]],'[1]POS_VIVO_0112 a 3101_CAMP. REG)'!$F$5:$G$113,2,FALSE)</f>
        <v>Saúde</v>
      </c>
      <c r="Q17" s="68">
        <f>VLOOKUP(UNIFAEL.[[#This Row],[CURSO]],'[1]POS_VIVO_0112 a 3101_CAMP. REG)'!$F$5:$H$113,3,FALSE)</f>
        <v>12</v>
      </c>
      <c r="R17" s="68">
        <f>VLOOKUP(UNIFAEL.[[#This Row],[CURSO]],'[1]POS_VIVO_0112 a 3101_CAMP. REG)'!$F$5:$I$113,4,FALSE)</f>
        <v>19</v>
      </c>
      <c r="S17" s="73">
        <f>VLOOKUP(UNIFAEL.[[#This Row],[CURSO]],'[1]POS_VIVO_0112 a 3101_CAMP. REG)'!$F$5:$J$113,5,FALSE)</f>
        <v>291.43870800000002</v>
      </c>
      <c r="T17" s="124">
        <f>VLOOKUP(UNIFAEL.[[#This Row],[CURSO]],'[1]POS_VIVO_0112 a 3101_CAMP. REG)'!$F$5:$L$113,7,FALSE)</f>
        <v>0.5</v>
      </c>
      <c r="U17" s="73">
        <f>VLOOKUP(UNIFAEL.[[#This Row],[CURSO]],'[1]POS_VIVO_0112 a 3101_CAMP. REG)'!$F$5:$M$113,8,FALSE)</f>
        <v>131.15</v>
      </c>
      <c r="V17" s="72">
        <f>VLOOKUP(UNIFAEL.[[#This Row],[CURSO]],'[1]POS_VIVO_0112 a 3101_CAMP. REG)'!$F$5:$P$113,11,FALSE)</f>
        <v>0.55000000000000004</v>
      </c>
      <c r="W17" s="73">
        <f>VLOOKUP(UNIFAEL.[[#This Row],[CURSO]],'[1]POS_VIVO_0112 a 3101_CAMP. REG)'!$F$5:$Q$113,12,FALSE)</f>
        <v>118.03</v>
      </c>
      <c r="X17" s="75">
        <f>UNIFAEL.[[#This Row],[Nº Parcelas]]</f>
        <v>19</v>
      </c>
      <c r="Y17" s="75">
        <f>UNIFAEL.[[#This Row],[Nº Parcelas normal2]]-1</f>
        <v>18</v>
      </c>
      <c r="Z17" s="73">
        <f>UNIFAEL.[[#This Row],[$ NORMAL]]</f>
        <v>291.43870800000002</v>
      </c>
      <c r="AA17" s="72">
        <f>UNIFAEL.[[#This Row],[%  SITE]]</f>
        <v>0.5</v>
      </c>
      <c r="AB17" s="73">
        <f>UNIFAEL.[[#This Row],[$ SITE]]</f>
        <v>131.15</v>
      </c>
      <c r="AC17" s="72">
        <f>UNIFAEL.[[#This Row],[%  SGP]]</f>
        <v>0.55000000000000004</v>
      </c>
      <c r="AD17" s="73">
        <f>UNIFAEL.[[#This Row],[$ SGP]]</f>
        <v>118.03</v>
      </c>
      <c r="AE17" s="69" t="s">
        <v>371</v>
      </c>
      <c r="AF17" s="69" t="s">
        <v>372</v>
      </c>
      <c r="AH17" s="121" t="s">
        <v>305</v>
      </c>
      <c r="AI17" s="69" t="s">
        <v>19</v>
      </c>
      <c r="AJ17" s="69" t="str">
        <f>VLOOKUP(UNAMA.[[#This Row],[PARCELA MATRICULA NÃO PAGA]],'[1]POS_VIVO_0112 a 3101_CAMP. REG)'!$F$115:$G$222,2,FALSE)</f>
        <v>Saúde</v>
      </c>
      <c r="AK17" s="69">
        <f>VLOOKUP(UNAMA.[[#This Row],[PARCELA MATRICULA NÃO PAGA]],'[1]POS_VIVO_0112 a 3101_CAMP. REG)'!$F$115:$H$222,3,FALSE)</f>
        <v>12</v>
      </c>
      <c r="AL17" s="69">
        <f>VLOOKUP(UNAMA.[[#This Row],[PARCELA MATRICULA NÃO PAGA]],'[1]POS_VIVO_0112 a 3101_CAMP. REG)'!$F$115:$I$222,4,FALSE)</f>
        <v>19</v>
      </c>
      <c r="AM17" s="73">
        <f>VLOOKUP(UNAMA.[[#This Row],[PARCELA MATRICULA NÃO PAGA]],'[1]POS_VIVO_0112 a 3101_CAMP. REG)'!$F$115:$J$222,5,FALSE)</f>
        <v>320.59937400000007</v>
      </c>
      <c r="AN17" s="123">
        <f>VLOOKUP(UNAMA.[[#This Row],[PARCELA MATRICULA NÃO PAGA]],'[1]POS_VIVO_0112 a 3101_CAMP. REG)'!$F$115:$L$222,7,FALSE)</f>
        <v>0.5</v>
      </c>
      <c r="AO17" s="73">
        <f>VLOOKUP(UNAMA.[[#This Row],[PARCELA MATRICULA NÃO PAGA]],'[1]POS_VIVO_0112 a 3101_CAMP. REG)'!$F$115:$M$222,8,FALSE)</f>
        <v>144.27000000000001</v>
      </c>
      <c r="AP17" s="72">
        <f>VLOOKUP(UNAMA.[[#This Row],[PARCELA MATRICULA NÃO PAGA]],'[1]POS_VIVO_0112 a 3101_CAMP. REG)'!$F$115:$P$222,11,FALSE)</f>
        <v>0.55000000000000004</v>
      </c>
      <c r="AQ17" s="73">
        <f>VLOOKUP(UNAMA.[[#This Row],[PARCELA MATRICULA NÃO PAGA]],'[1]POS_VIVO_0112 a 3101_CAMP. REG)'!$F$115:$Q$222,12,FALSE)</f>
        <v>129.84</v>
      </c>
      <c r="AR17" s="68">
        <f>UNAMA.[[#This Row],[Nº Parcelas]]</f>
        <v>19</v>
      </c>
      <c r="AS17" s="68">
        <f>UNAMA.[[#This Row],[Nº Parcelas normal2]]-1</f>
        <v>18</v>
      </c>
      <c r="AT17" s="71">
        <f>UNAMA.[[#This Row],[$ NORMAL]]</f>
        <v>320.59937400000007</v>
      </c>
      <c r="AU17" s="162">
        <f>UNAMA.[[#This Row],[%  SITE]]</f>
        <v>0.5</v>
      </c>
      <c r="AV17" s="161">
        <f>UNAMA.[[#This Row],[$ SITE]]</f>
        <v>144.27000000000001</v>
      </c>
      <c r="AW17" s="162">
        <f>UNAMA.[[#This Row],[%  SGP]]</f>
        <v>0.55000000000000004</v>
      </c>
      <c r="AX17" s="161">
        <f>UNAMA.[[#This Row],[$ SGP]]</f>
        <v>129.84</v>
      </c>
      <c r="AY17" s="69" t="s">
        <v>351</v>
      </c>
      <c r="AZ17" s="69" t="s">
        <v>372</v>
      </c>
      <c r="BB17" s="121" t="s">
        <v>305</v>
      </c>
      <c r="BC17" s="69" t="s">
        <v>19</v>
      </c>
      <c r="BD17" s="69" t="str">
        <f>VLOOKUP(UNG.[[#This Row],[CURSO]],'[1]POS_VIVO_0112 a 3101_CAMP. REG)'!$F$224:$G$331,2,FALSE)</f>
        <v>Saúde</v>
      </c>
      <c r="BE17" s="68">
        <f>VLOOKUP(UNG.[[#This Row],[CURSO]],'[1]POS_VIVO_0112 a 3101_CAMP. REG)'!$F$224:$H$331,3,FALSE)</f>
        <v>12</v>
      </c>
      <c r="BF17" s="68">
        <f>VLOOKUP(UNG.[[#This Row],[CURSO]],'[1]POS_VIVO_0112 a 3101_CAMP. REG)'!$F$224:$I$331,4,FALSE)</f>
        <v>19</v>
      </c>
      <c r="BG17" s="73">
        <f>VLOOKUP(UNG.[[#This Row],[CURSO]],'[1]POS_VIVO_0112 a 3101_CAMP. REG)'!$F$224:$J$331,5,FALSE)</f>
        <v>291.43870800000002</v>
      </c>
      <c r="BH17" s="72">
        <f>VLOOKUP(UNG.[[#This Row],[CURSO]],'[1]POS_VIVO_0112 a 3101_CAMP. REG)'!$F$224:$L$331,7,FALSE)</f>
        <v>0.5</v>
      </c>
      <c r="BI17" s="73">
        <f>VLOOKUP(UNG.[[#This Row],[CURSO]],'[1]POS_VIVO_0112 a 3101_CAMP. REG)'!$F$224:$M$331,8,FALSE)</f>
        <v>131.15</v>
      </c>
      <c r="BJ17" s="72">
        <f>VLOOKUP(UNG.[[#This Row],[CURSO]],'[1]POS_VIVO_0112 a 3101_CAMP. REG)'!$F$224:$P$331,11,FALSE)</f>
        <v>0.55000000000000004</v>
      </c>
      <c r="BK17" s="73">
        <f>VLOOKUP(UNG.[[#This Row],[CURSO]],'[1]POS_VIVO_0112 a 3101_CAMP. REG)'!$F$224:$Q$331,12,FALSE)</f>
        <v>118.03</v>
      </c>
      <c r="BL17" s="75">
        <f>UNG.[[#This Row],[Nº Parcelas]]</f>
        <v>19</v>
      </c>
      <c r="BM17" s="75">
        <f>UNG.[[#This Row],[Nº Parcelas normal2]]-1</f>
        <v>18</v>
      </c>
      <c r="BN17" s="73">
        <f>UNG.[[#This Row],[$ NORMAL]]</f>
        <v>291.43870800000002</v>
      </c>
      <c r="BO17" s="72">
        <f>UNG.[[#This Row],[%  SITE]]</f>
        <v>0.5</v>
      </c>
      <c r="BP17" s="73">
        <f>UNG.[[#This Row],[$ SITE]]</f>
        <v>131.15</v>
      </c>
      <c r="BQ17" s="72">
        <f>UNG.[[#This Row],[%  SGP]]</f>
        <v>0.55000000000000004</v>
      </c>
      <c r="BR17" s="73">
        <f>UNG.[[#This Row],[$ SGP]]</f>
        <v>118.03</v>
      </c>
      <c r="BS17" s="69" t="s">
        <v>351</v>
      </c>
      <c r="BT17" s="69" t="s">
        <v>372</v>
      </c>
      <c r="BV17" s="121" t="s">
        <v>305</v>
      </c>
      <c r="BW17" s="69" t="s">
        <v>19</v>
      </c>
      <c r="BX17" s="69" t="str">
        <f>VLOOKUP(UNINASSAU.[[#This Row],[CURSO]],'[1]POS_VIVO_0112 a 3101_CAMP. REG)'!$F$333:$G$447,2,FALSE)</f>
        <v>Saúde</v>
      </c>
      <c r="BY17" s="68">
        <f>VLOOKUP(UNINASSAU.[[#This Row],[CURSO]],'[1]POS_VIVO_0112 a 3101_CAMP. REG)'!$F$333:$H$447,3,FALSE)</f>
        <v>12</v>
      </c>
      <c r="BZ17" s="68">
        <f>VLOOKUP(UNINASSAU.[[#This Row],[CURSO]],'[1]POS_VIVO_0112 a 3101_CAMP. REG)'!$F$333:$I$447,4,FALSE)</f>
        <v>19</v>
      </c>
      <c r="CA17" s="73">
        <f>VLOOKUP(UNINASSAU.[[#This Row],[CURSO]],'[1]POS_VIVO_0112 a 3101_CAMP. REG)'!$F$333:$J$447,5,FALSE)</f>
        <v>291.43870800000002</v>
      </c>
      <c r="CB17" s="72">
        <f>VLOOKUP(UNINASSAU.[[#This Row],[CURSO]],'[1]POS_VIVO_0112 a 3101_CAMP. REG)'!$F$333:$L$447,7,FALSE)</f>
        <v>0.5</v>
      </c>
      <c r="CC17" s="73">
        <f>VLOOKUP(UNINASSAU.[[#This Row],[CURSO]],'[1]POS_VIVO_0112 a 3101_CAMP. REG)'!$F$333:$M$447,8,FALSE)</f>
        <v>131.15</v>
      </c>
      <c r="CD17" s="72">
        <f>VLOOKUP(UNINASSAU.[[#This Row],[CURSO]],'[1]POS_VIVO_0112 a 3101_CAMP. REG)'!$F$333:$P$447,11,FALSE)</f>
        <v>0.55000000000000004</v>
      </c>
      <c r="CE17" s="73">
        <f>VLOOKUP(UNINASSAU.[[#This Row],[CURSO]],'[1]POS_VIVO_0112 a 3101_CAMP. REG)'!$F$333:$Q$447,12,FALSE)</f>
        <v>118.03</v>
      </c>
      <c r="CF17" s="75">
        <f>UNINASSAU.[[#This Row],[Nº Parcelas]]</f>
        <v>19</v>
      </c>
      <c r="CG17" s="75">
        <f>UNINASSAU.[[#This Row],[Nº Parcelas normal2]]-1</f>
        <v>18</v>
      </c>
      <c r="CH17" s="73">
        <f>UNINASSAU.[[#This Row],[$ NORMAL]]</f>
        <v>291.43870800000002</v>
      </c>
      <c r="CI17" s="72">
        <f>UNINASSAU.[[#This Row],[%  SITE]]</f>
        <v>0.5</v>
      </c>
      <c r="CJ17" s="73">
        <f>UNINASSAU.[[#This Row],[$ SITE]]</f>
        <v>131.15</v>
      </c>
      <c r="CK17" s="72">
        <f>UNINASSAU.[[#This Row],[%  SGP]]</f>
        <v>0.55000000000000004</v>
      </c>
      <c r="CL17" s="73">
        <f>UNINASSAU.[[#This Row],[$ SGP]]</f>
        <v>118.03</v>
      </c>
      <c r="CM17" s="69" t="s">
        <v>351</v>
      </c>
      <c r="CN17" s="69" t="s">
        <v>372</v>
      </c>
      <c r="CP17" s="104">
        <v>14</v>
      </c>
      <c r="CQ17" s="121" t="s">
        <v>345</v>
      </c>
      <c r="CR17" s="67"/>
      <c r="CT17" s="151"/>
    </row>
    <row r="18" spans="1:109" ht="16.5" customHeight="1" x14ac:dyDescent="0.3">
      <c r="A18" s="47"/>
      <c r="B18" s="17"/>
      <c r="C18" s="17"/>
      <c r="D18" s="166" t="s">
        <v>30</v>
      </c>
      <c r="E18" s="166"/>
      <c r="F18" s="166"/>
      <c r="G18" s="166"/>
      <c r="H18" s="17"/>
      <c r="I18" s="19"/>
      <c r="J18" s="1"/>
      <c r="K18" s="1"/>
      <c r="N18" s="121" t="s">
        <v>321</v>
      </c>
      <c r="O18" s="69" t="s">
        <v>19</v>
      </c>
      <c r="P18" s="69" t="str">
        <f>VLOOKUP(UNIFAEL.[[#This Row],[CURSO]],'[1]POS_VIVO_0112 a 3101_CAMP. REG)'!$F$5:$G$113,2,FALSE)</f>
        <v>Educação</v>
      </c>
      <c r="Q18" s="68">
        <f>VLOOKUP(UNIFAEL.[[#This Row],[CURSO]],'[1]POS_VIVO_0112 a 3101_CAMP. REG)'!$F$5:$H$113,3,FALSE)</f>
        <v>12</v>
      </c>
      <c r="R18" s="68">
        <f>VLOOKUP(UNIFAEL.[[#This Row],[CURSO]],'[1]POS_VIVO_0112 a 3101_CAMP. REG)'!$F$5:$I$113,4,FALSE)</f>
        <v>19</v>
      </c>
      <c r="S18" s="73">
        <f>VLOOKUP(UNIFAEL.[[#This Row],[CURSO]],'[1]POS_VIVO_0112 a 3101_CAMP. REG)'!$F$5:$J$113,5,FALSE)</f>
        <v>262.27804200000003</v>
      </c>
      <c r="T18" s="124">
        <f>VLOOKUP(UNIFAEL.[[#This Row],[CURSO]],'[1]POS_VIVO_0112 a 3101_CAMP. REG)'!$F$5:$L$113,7,FALSE)</f>
        <v>0.3</v>
      </c>
      <c r="U18" s="73">
        <f>VLOOKUP(UNIFAEL.[[#This Row],[CURSO]],'[1]POS_VIVO_0112 a 3101_CAMP. REG)'!$F$5:$M$113,8,FALSE)</f>
        <v>165.24</v>
      </c>
      <c r="V18" s="72">
        <f>VLOOKUP(UNIFAEL.[[#This Row],[CURSO]],'[1]POS_VIVO_0112 a 3101_CAMP. REG)'!$F$5:$P$113,11,FALSE)</f>
        <v>0.35</v>
      </c>
      <c r="W18" s="73">
        <f>VLOOKUP(UNIFAEL.[[#This Row],[CURSO]],'[1]POS_VIVO_0112 a 3101_CAMP. REG)'!$F$5:$Q$113,12,FALSE)</f>
        <v>153.43</v>
      </c>
      <c r="X18" s="75">
        <f>UNIFAEL.[[#This Row],[Nº Parcelas]]</f>
        <v>19</v>
      </c>
      <c r="Y18" s="75">
        <f>UNIFAEL.[[#This Row],[Nº Parcelas normal2]]-1</f>
        <v>18</v>
      </c>
      <c r="Z18" s="73">
        <f>UNIFAEL.[[#This Row],[$ NORMAL]]</f>
        <v>262.27804200000003</v>
      </c>
      <c r="AA18" s="72">
        <f>UNIFAEL.[[#This Row],[%  SITE]]</f>
        <v>0.3</v>
      </c>
      <c r="AB18" s="73">
        <f>UNIFAEL.[[#This Row],[$ SITE]]</f>
        <v>165.24</v>
      </c>
      <c r="AC18" s="72">
        <f>UNIFAEL.[[#This Row],[%  SGP]]</f>
        <v>0.35</v>
      </c>
      <c r="AD18" s="73">
        <f>UNIFAEL.[[#This Row],[$ SGP]]</f>
        <v>153.43</v>
      </c>
      <c r="AE18" s="69" t="s">
        <v>371</v>
      </c>
      <c r="AF18" s="69" t="s">
        <v>372</v>
      </c>
      <c r="AH18" s="121" t="s">
        <v>321</v>
      </c>
      <c r="AI18" s="69" t="s">
        <v>19</v>
      </c>
      <c r="AJ18" s="69" t="str">
        <f>VLOOKUP(UNAMA.[[#This Row],[PARCELA MATRICULA NÃO PAGA]],'[1]POS_VIVO_0112 a 3101_CAMP. REG)'!$F$115:$G$222,2,FALSE)</f>
        <v>Educação</v>
      </c>
      <c r="AK18" s="69">
        <f>VLOOKUP(UNAMA.[[#This Row],[PARCELA MATRICULA NÃO PAGA]],'[1]POS_VIVO_0112 a 3101_CAMP. REG)'!$F$115:$H$222,3,FALSE)</f>
        <v>12</v>
      </c>
      <c r="AL18" s="69">
        <f>VLOOKUP(UNAMA.[[#This Row],[PARCELA MATRICULA NÃO PAGA]],'[1]POS_VIVO_0112 a 3101_CAMP. REG)'!$F$115:$I$222,4,FALSE)</f>
        <v>19</v>
      </c>
      <c r="AM18" s="73">
        <f>VLOOKUP(UNAMA.[[#This Row],[PARCELA MATRICULA NÃO PAGA]],'[1]POS_VIVO_0112 a 3101_CAMP. REG)'!$F$115:$J$222,5,FALSE)</f>
        <v>291.43870800000002</v>
      </c>
      <c r="AN18" s="123">
        <f>VLOOKUP(UNAMA.[[#This Row],[PARCELA MATRICULA NÃO PAGA]],'[1]POS_VIVO_0112 a 3101_CAMP. REG)'!$F$115:$L$222,7,FALSE)</f>
        <v>0.3</v>
      </c>
      <c r="AO18" s="73">
        <f>VLOOKUP(UNAMA.[[#This Row],[PARCELA MATRICULA NÃO PAGA]],'[1]POS_VIVO_0112 a 3101_CAMP. REG)'!$F$115:$M$222,8,FALSE)</f>
        <v>183.61</v>
      </c>
      <c r="AP18" s="72">
        <f>VLOOKUP(UNAMA.[[#This Row],[PARCELA MATRICULA NÃO PAGA]],'[1]POS_VIVO_0112 a 3101_CAMP. REG)'!$F$115:$P$222,11,FALSE)</f>
        <v>0.35</v>
      </c>
      <c r="AQ18" s="73">
        <f>VLOOKUP(UNAMA.[[#This Row],[PARCELA MATRICULA NÃO PAGA]],'[1]POS_VIVO_0112 a 3101_CAMP. REG)'!$F$115:$Q$222,12,FALSE)</f>
        <v>170.49</v>
      </c>
      <c r="AR18" s="68">
        <f>UNAMA.[[#This Row],[Nº Parcelas]]</f>
        <v>19</v>
      </c>
      <c r="AS18" s="68">
        <f>UNAMA.[[#This Row],[Nº Parcelas normal2]]-1</f>
        <v>18</v>
      </c>
      <c r="AT18" s="71">
        <f>UNAMA.[[#This Row],[$ NORMAL]]</f>
        <v>291.43870800000002</v>
      </c>
      <c r="AU18" s="162">
        <f>UNAMA.[[#This Row],[%  SITE]]</f>
        <v>0.3</v>
      </c>
      <c r="AV18" s="161">
        <f>UNAMA.[[#This Row],[$ SITE]]</f>
        <v>183.61</v>
      </c>
      <c r="AW18" s="162">
        <f>UNAMA.[[#This Row],[%  SGP]]</f>
        <v>0.35</v>
      </c>
      <c r="AX18" s="161">
        <f>UNAMA.[[#This Row],[$ SGP]]</f>
        <v>170.49</v>
      </c>
      <c r="AY18" s="69" t="s">
        <v>351</v>
      </c>
      <c r="AZ18" s="69" t="s">
        <v>372</v>
      </c>
      <c r="BB18" s="121" t="s">
        <v>321</v>
      </c>
      <c r="BC18" s="69" t="s">
        <v>19</v>
      </c>
      <c r="BD18" s="69" t="str">
        <f>VLOOKUP(UNG.[[#This Row],[CURSO]],'[1]POS_VIVO_0112 a 3101_CAMP. REG)'!$F$224:$G$331,2,FALSE)</f>
        <v>Educação</v>
      </c>
      <c r="BE18" s="68">
        <f>VLOOKUP(UNG.[[#This Row],[CURSO]],'[1]POS_VIVO_0112 a 3101_CAMP. REG)'!$F$224:$H$331,3,FALSE)</f>
        <v>12</v>
      </c>
      <c r="BF18" s="68">
        <f>VLOOKUP(UNG.[[#This Row],[CURSO]],'[1]POS_VIVO_0112 a 3101_CAMP. REG)'!$F$224:$I$331,4,FALSE)</f>
        <v>19</v>
      </c>
      <c r="BG18" s="73">
        <f>VLOOKUP(UNG.[[#This Row],[CURSO]],'[1]POS_VIVO_0112 a 3101_CAMP. REG)'!$F$224:$J$331,5,FALSE)</f>
        <v>262.27804200000003</v>
      </c>
      <c r="BH18" s="72">
        <f>VLOOKUP(UNG.[[#This Row],[CURSO]],'[1]POS_VIVO_0112 a 3101_CAMP. REG)'!$F$224:$L$331,7,FALSE)</f>
        <v>0.3</v>
      </c>
      <c r="BI18" s="73">
        <f>VLOOKUP(UNG.[[#This Row],[CURSO]],'[1]POS_VIVO_0112 a 3101_CAMP. REG)'!$F$224:$M$331,8,FALSE)</f>
        <v>165.24</v>
      </c>
      <c r="BJ18" s="72">
        <f>VLOOKUP(UNG.[[#This Row],[CURSO]],'[1]POS_VIVO_0112 a 3101_CAMP. REG)'!$F$224:$P$331,11,FALSE)</f>
        <v>0.35</v>
      </c>
      <c r="BK18" s="73">
        <f>VLOOKUP(UNG.[[#This Row],[CURSO]],'[1]POS_VIVO_0112 a 3101_CAMP. REG)'!$F$224:$Q$331,12,FALSE)</f>
        <v>153.43</v>
      </c>
      <c r="BL18" s="75">
        <f>UNG.[[#This Row],[Nº Parcelas]]</f>
        <v>19</v>
      </c>
      <c r="BM18" s="75">
        <f>UNG.[[#This Row],[Nº Parcelas normal2]]-1</f>
        <v>18</v>
      </c>
      <c r="BN18" s="73">
        <f>UNG.[[#This Row],[$ NORMAL]]</f>
        <v>262.27804200000003</v>
      </c>
      <c r="BO18" s="72">
        <f>UNG.[[#This Row],[%  SITE]]</f>
        <v>0.3</v>
      </c>
      <c r="BP18" s="73">
        <f>UNG.[[#This Row],[$ SITE]]</f>
        <v>165.24</v>
      </c>
      <c r="BQ18" s="72">
        <f>UNG.[[#This Row],[%  SGP]]</f>
        <v>0.35</v>
      </c>
      <c r="BR18" s="73">
        <f>UNG.[[#This Row],[$ SGP]]</f>
        <v>153.43</v>
      </c>
      <c r="BS18" s="69" t="s">
        <v>351</v>
      </c>
      <c r="BT18" s="69" t="s">
        <v>372</v>
      </c>
      <c r="BV18" s="121" t="s">
        <v>321</v>
      </c>
      <c r="BW18" s="69" t="s">
        <v>19</v>
      </c>
      <c r="BX18" s="69" t="str">
        <f>VLOOKUP(UNINASSAU.[[#This Row],[CURSO]],'[1]POS_VIVO_0112 a 3101_CAMP. REG)'!$F$333:$G$447,2,FALSE)</f>
        <v>Educação</v>
      </c>
      <c r="BY18" s="68">
        <f>VLOOKUP(UNINASSAU.[[#This Row],[CURSO]],'[1]POS_VIVO_0112 a 3101_CAMP. REG)'!$F$333:$H$447,3,FALSE)</f>
        <v>12</v>
      </c>
      <c r="BZ18" s="68">
        <f>VLOOKUP(UNINASSAU.[[#This Row],[CURSO]],'[1]POS_VIVO_0112 a 3101_CAMP. REG)'!$F$333:$I$447,4,FALSE)</f>
        <v>19</v>
      </c>
      <c r="CA18" s="73">
        <f>VLOOKUP(UNINASSAU.[[#This Row],[CURSO]],'[1]POS_VIVO_0112 a 3101_CAMP. REG)'!$F$333:$J$447,5,FALSE)</f>
        <v>262.27804200000003</v>
      </c>
      <c r="CB18" s="72">
        <f>VLOOKUP(UNINASSAU.[[#This Row],[CURSO]],'[1]POS_VIVO_0112 a 3101_CAMP. REG)'!$F$333:$L$447,7,FALSE)</f>
        <v>0.3</v>
      </c>
      <c r="CC18" s="73">
        <f>VLOOKUP(UNINASSAU.[[#This Row],[CURSO]],'[1]POS_VIVO_0112 a 3101_CAMP. REG)'!$F$333:$M$447,8,FALSE)</f>
        <v>165.24</v>
      </c>
      <c r="CD18" s="72">
        <f>VLOOKUP(UNINASSAU.[[#This Row],[CURSO]],'[1]POS_VIVO_0112 a 3101_CAMP. REG)'!$F$333:$P$447,11,FALSE)</f>
        <v>0.35</v>
      </c>
      <c r="CE18" s="73">
        <f>VLOOKUP(UNINASSAU.[[#This Row],[CURSO]],'[1]POS_VIVO_0112 a 3101_CAMP. REG)'!$F$333:$Q$447,12,FALSE)</f>
        <v>153.43</v>
      </c>
      <c r="CF18" s="75">
        <f>UNINASSAU.[[#This Row],[Nº Parcelas]]</f>
        <v>19</v>
      </c>
      <c r="CG18" s="75">
        <f>UNINASSAU.[[#This Row],[Nº Parcelas normal2]]-1</f>
        <v>18</v>
      </c>
      <c r="CH18" s="73">
        <f>UNINASSAU.[[#This Row],[$ NORMAL]]</f>
        <v>262.27804200000003</v>
      </c>
      <c r="CI18" s="72">
        <f>UNINASSAU.[[#This Row],[%  SITE]]</f>
        <v>0.3</v>
      </c>
      <c r="CJ18" s="73">
        <f>UNINASSAU.[[#This Row],[$ SITE]]</f>
        <v>165.24</v>
      </c>
      <c r="CK18" s="72">
        <f>UNINASSAU.[[#This Row],[%  SGP]]</f>
        <v>0.35</v>
      </c>
      <c r="CL18" s="73">
        <f>UNINASSAU.[[#This Row],[$ SGP]]</f>
        <v>153.43</v>
      </c>
      <c r="CM18" s="69" t="s">
        <v>351</v>
      </c>
      <c r="CN18" s="69" t="s">
        <v>372</v>
      </c>
      <c r="CP18" s="104">
        <v>15</v>
      </c>
      <c r="CQ18" s="121" t="s">
        <v>268</v>
      </c>
      <c r="CR18" s="67"/>
    </row>
    <row r="19" spans="1:109" s="10" customFormat="1" ht="30" customHeight="1" x14ac:dyDescent="0.25">
      <c r="A19" s="49"/>
      <c r="B19" s="31"/>
      <c r="C19" s="31"/>
      <c r="D19" s="39" t="s">
        <v>27</v>
      </c>
      <c r="E19" s="39" t="s">
        <v>28</v>
      </c>
      <c r="F19" s="39" t="s">
        <v>31</v>
      </c>
      <c r="G19" s="40" t="s">
        <v>32</v>
      </c>
      <c r="H19" s="31"/>
      <c r="I19" s="32"/>
      <c r="J19" s="9"/>
      <c r="K19" s="9"/>
      <c r="L19" s="105"/>
      <c r="M19" s="105"/>
      <c r="N19" s="121" t="s">
        <v>319</v>
      </c>
      <c r="O19" s="69" t="s">
        <v>19</v>
      </c>
      <c r="P19" s="69" t="str">
        <f>VLOOKUP(UNIFAEL.[[#This Row],[CURSO]],'[1]POS_VIVO_0112 a 3101_CAMP. REG)'!$F$5:$G$113,2,FALSE)</f>
        <v>Comunicação</v>
      </c>
      <c r="Q19" s="68">
        <f>VLOOKUP(UNIFAEL.[[#This Row],[CURSO]],'[1]POS_VIVO_0112 a 3101_CAMP. REG)'!$F$5:$H$113,3,FALSE)</f>
        <v>12</v>
      </c>
      <c r="R19" s="68">
        <f>VLOOKUP(UNIFAEL.[[#This Row],[CURSO]],'[1]POS_VIVO_0112 a 3101_CAMP. REG)'!$F$5:$I$113,4,FALSE)</f>
        <v>19</v>
      </c>
      <c r="S19" s="73">
        <f>VLOOKUP(UNIFAEL.[[#This Row],[CURSO]],'[1]POS_VIVO_0112 a 3101_CAMP. REG)'!$F$5:$J$113,5,FALSE)</f>
        <v>291.43870800000002</v>
      </c>
      <c r="T19" s="124">
        <f>VLOOKUP(UNIFAEL.[[#This Row],[CURSO]],'[1]POS_VIVO_0112 a 3101_CAMP. REG)'!$F$5:$L$113,7,FALSE)</f>
        <v>0.5</v>
      </c>
      <c r="U19" s="73">
        <f>VLOOKUP(UNIFAEL.[[#This Row],[CURSO]],'[1]POS_VIVO_0112 a 3101_CAMP. REG)'!$F$5:$M$113,8,FALSE)</f>
        <v>131.15</v>
      </c>
      <c r="V19" s="72">
        <f>VLOOKUP(UNIFAEL.[[#This Row],[CURSO]],'[1]POS_VIVO_0112 a 3101_CAMP. REG)'!$F$5:$P$113,11,FALSE)</f>
        <v>0.55000000000000004</v>
      </c>
      <c r="W19" s="73">
        <f>VLOOKUP(UNIFAEL.[[#This Row],[CURSO]],'[1]POS_VIVO_0112 a 3101_CAMP. REG)'!$F$5:$Q$113,12,FALSE)</f>
        <v>118.03</v>
      </c>
      <c r="X19" s="75">
        <f>UNIFAEL.[[#This Row],[Nº Parcelas]]</f>
        <v>19</v>
      </c>
      <c r="Y19" s="75">
        <f>UNIFAEL.[[#This Row],[Nº Parcelas normal2]]-1</f>
        <v>18</v>
      </c>
      <c r="Z19" s="73">
        <f>UNIFAEL.[[#This Row],[$ NORMAL]]</f>
        <v>291.43870800000002</v>
      </c>
      <c r="AA19" s="72">
        <f>UNIFAEL.[[#This Row],[%  SITE]]</f>
        <v>0.5</v>
      </c>
      <c r="AB19" s="73">
        <f>UNIFAEL.[[#This Row],[$ SITE]]</f>
        <v>131.15</v>
      </c>
      <c r="AC19" s="72">
        <f>UNIFAEL.[[#This Row],[%  SGP]]</f>
        <v>0.55000000000000004</v>
      </c>
      <c r="AD19" s="73">
        <f>UNIFAEL.[[#This Row],[$ SGP]]</f>
        <v>118.03</v>
      </c>
      <c r="AE19" s="69" t="s">
        <v>371</v>
      </c>
      <c r="AF19" s="69" t="s">
        <v>372</v>
      </c>
      <c r="AG19" s="69"/>
      <c r="AH19" s="121" t="s">
        <v>319</v>
      </c>
      <c r="AI19" s="69" t="s">
        <v>19</v>
      </c>
      <c r="AJ19" s="69" t="str">
        <f>VLOOKUP(UNAMA.[[#This Row],[PARCELA MATRICULA NÃO PAGA]],'[1]POS_VIVO_0112 a 3101_CAMP. REG)'!$F$115:$G$222,2,FALSE)</f>
        <v>Comunicação</v>
      </c>
      <c r="AK19" s="69">
        <f>VLOOKUP(UNAMA.[[#This Row],[PARCELA MATRICULA NÃO PAGA]],'[1]POS_VIVO_0112 a 3101_CAMP. REG)'!$F$115:$H$222,3,FALSE)</f>
        <v>12</v>
      </c>
      <c r="AL19" s="69">
        <f>VLOOKUP(UNAMA.[[#This Row],[PARCELA MATRICULA NÃO PAGA]],'[1]POS_VIVO_0112 a 3101_CAMP. REG)'!$F$115:$I$222,4,FALSE)</f>
        <v>19</v>
      </c>
      <c r="AM19" s="73">
        <f>VLOOKUP(UNAMA.[[#This Row],[PARCELA MATRICULA NÃO PAGA]],'[1]POS_VIVO_0112 a 3101_CAMP. REG)'!$F$115:$J$222,5,FALSE)</f>
        <v>320.59937400000007</v>
      </c>
      <c r="AN19" s="123">
        <f>VLOOKUP(UNAMA.[[#This Row],[PARCELA MATRICULA NÃO PAGA]],'[1]POS_VIVO_0112 a 3101_CAMP. REG)'!$F$115:$L$222,7,FALSE)</f>
        <v>0.5</v>
      </c>
      <c r="AO19" s="73">
        <f>VLOOKUP(UNAMA.[[#This Row],[PARCELA MATRICULA NÃO PAGA]],'[1]POS_VIVO_0112 a 3101_CAMP. REG)'!$F$115:$M$222,8,FALSE)</f>
        <v>144.27000000000001</v>
      </c>
      <c r="AP19" s="72">
        <f>VLOOKUP(UNAMA.[[#This Row],[PARCELA MATRICULA NÃO PAGA]],'[1]POS_VIVO_0112 a 3101_CAMP. REG)'!$F$115:$P$222,11,FALSE)</f>
        <v>0.55000000000000004</v>
      </c>
      <c r="AQ19" s="73">
        <f>VLOOKUP(UNAMA.[[#This Row],[PARCELA MATRICULA NÃO PAGA]],'[1]POS_VIVO_0112 a 3101_CAMP. REG)'!$F$115:$Q$222,12,FALSE)</f>
        <v>129.84</v>
      </c>
      <c r="AR19" s="68">
        <f>UNAMA.[[#This Row],[Nº Parcelas]]</f>
        <v>19</v>
      </c>
      <c r="AS19" s="68">
        <f>UNAMA.[[#This Row],[Nº Parcelas normal2]]-1</f>
        <v>18</v>
      </c>
      <c r="AT19" s="71">
        <f>UNAMA.[[#This Row],[$ NORMAL]]</f>
        <v>320.59937400000007</v>
      </c>
      <c r="AU19" s="162">
        <f>UNAMA.[[#This Row],[%  SITE]]</f>
        <v>0.5</v>
      </c>
      <c r="AV19" s="161">
        <f>UNAMA.[[#This Row],[$ SITE]]</f>
        <v>144.27000000000001</v>
      </c>
      <c r="AW19" s="162">
        <f>UNAMA.[[#This Row],[%  SGP]]</f>
        <v>0.55000000000000004</v>
      </c>
      <c r="AX19" s="161">
        <f>UNAMA.[[#This Row],[$ SGP]]</f>
        <v>129.84</v>
      </c>
      <c r="AY19" s="69" t="s">
        <v>351</v>
      </c>
      <c r="AZ19" s="69" t="s">
        <v>372</v>
      </c>
      <c r="BA19" s="74"/>
      <c r="BB19" s="121" t="s">
        <v>319</v>
      </c>
      <c r="BC19" s="69" t="s">
        <v>19</v>
      </c>
      <c r="BD19" s="69" t="str">
        <f>VLOOKUP(UNG.[[#This Row],[CURSO]],'[1]POS_VIVO_0112 a 3101_CAMP. REG)'!$F$224:$G$331,2,FALSE)</f>
        <v>Comunicação</v>
      </c>
      <c r="BE19" s="68">
        <f>VLOOKUP(UNG.[[#This Row],[CURSO]],'[1]POS_VIVO_0112 a 3101_CAMP. REG)'!$F$224:$H$331,3,FALSE)</f>
        <v>12</v>
      </c>
      <c r="BF19" s="68">
        <f>VLOOKUP(UNG.[[#This Row],[CURSO]],'[1]POS_VIVO_0112 a 3101_CAMP. REG)'!$F$224:$I$331,4,FALSE)</f>
        <v>19</v>
      </c>
      <c r="BG19" s="73">
        <f>VLOOKUP(UNG.[[#This Row],[CURSO]],'[1]POS_VIVO_0112 a 3101_CAMP. REG)'!$F$224:$J$331,5,FALSE)</f>
        <v>291.43870800000002</v>
      </c>
      <c r="BH19" s="72">
        <f>VLOOKUP(UNG.[[#This Row],[CURSO]],'[1]POS_VIVO_0112 a 3101_CAMP. REG)'!$F$224:$L$331,7,FALSE)</f>
        <v>0.5</v>
      </c>
      <c r="BI19" s="73">
        <f>VLOOKUP(UNG.[[#This Row],[CURSO]],'[1]POS_VIVO_0112 a 3101_CAMP. REG)'!$F$224:$M$331,8,FALSE)</f>
        <v>131.15</v>
      </c>
      <c r="BJ19" s="72">
        <f>VLOOKUP(UNG.[[#This Row],[CURSO]],'[1]POS_VIVO_0112 a 3101_CAMP. REG)'!$F$224:$P$331,11,FALSE)</f>
        <v>0.55000000000000004</v>
      </c>
      <c r="BK19" s="73">
        <f>VLOOKUP(UNG.[[#This Row],[CURSO]],'[1]POS_VIVO_0112 a 3101_CAMP. REG)'!$F$224:$Q$331,12,FALSE)</f>
        <v>118.03</v>
      </c>
      <c r="BL19" s="75">
        <f>UNG.[[#This Row],[Nº Parcelas]]</f>
        <v>19</v>
      </c>
      <c r="BM19" s="75">
        <f>UNG.[[#This Row],[Nº Parcelas normal2]]-1</f>
        <v>18</v>
      </c>
      <c r="BN19" s="73">
        <f>UNG.[[#This Row],[$ NORMAL]]</f>
        <v>291.43870800000002</v>
      </c>
      <c r="BO19" s="72">
        <f>UNG.[[#This Row],[%  SITE]]</f>
        <v>0.5</v>
      </c>
      <c r="BP19" s="73">
        <f>UNG.[[#This Row],[$ SITE]]</f>
        <v>131.15</v>
      </c>
      <c r="BQ19" s="72">
        <f>UNG.[[#This Row],[%  SGP]]</f>
        <v>0.55000000000000004</v>
      </c>
      <c r="BR19" s="73">
        <f>UNG.[[#This Row],[$ SGP]]</f>
        <v>118.03</v>
      </c>
      <c r="BS19" s="69" t="s">
        <v>351</v>
      </c>
      <c r="BT19" s="69" t="s">
        <v>372</v>
      </c>
      <c r="BU19" s="74"/>
      <c r="BV19" s="121" t="s">
        <v>319</v>
      </c>
      <c r="BW19" s="69" t="s">
        <v>19</v>
      </c>
      <c r="BX19" s="69" t="str">
        <f>VLOOKUP(UNINASSAU.[[#This Row],[CURSO]],'[1]POS_VIVO_0112 a 3101_CAMP. REG)'!$F$333:$G$447,2,FALSE)</f>
        <v>Comunicação</v>
      </c>
      <c r="BY19" s="68">
        <f>VLOOKUP(UNINASSAU.[[#This Row],[CURSO]],'[1]POS_VIVO_0112 a 3101_CAMP. REG)'!$F$333:$H$447,3,FALSE)</f>
        <v>12</v>
      </c>
      <c r="BZ19" s="68">
        <f>VLOOKUP(UNINASSAU.[[#This Row],[CURSO]],'[1]POS_VIVO_0112 a 3101_CAMP. REG)'!$F$333:$I$447,4,FALSE)</f>
        <v>19</v>
      </c>
      <c r="CA19" s="73">
        <f>VLOOKUP(UNINASSAU.[[#This Row],[CURSO]],'[1]POS_VIVO_0112 a 3101_CAMP. REG)'!$F$333:$J$447,5,FALSE)</f>
        <v>291.43870800000002</v>
      </c>
      <c r="CB19" s="72">
        <f>VLOOKUP(UNINASSAU.[[#This Row],[CURSO]],'[1]POS_VIVO_0112 a 3101_CAMP. REG)'!$F$333:$L$447,7,FALSE)</f>
        <v>0.5</v>
      </c>
      <c r="CC19" s="73">
        <f>VLOOKUP(UNINASSAU.[[#This Row],[CURSO]],'[1]POS_VIVO_0112 a 3101_CAMP. REG)'!$F$333:$M$447,8,FALSE)</f>
        <v>131.15</v>
      </c>
      <c r="CD19" s="72">
        <f>VLOOKUP(UNINASSAU.[[#This Row],[CURSO]],'[1]POS_VIVO_0112 a 3101_CAMP. REG)'!$F$333:$P$447,11,FALSE)</f>
        <v>0.55000000000000004</v>
      </c>
      <c r="CE19" s="73">
        <f>VLOOKUP(UNINASSAU.[[#This Row],[CURSO]],'[1]POS_VIVO_0112 a 3101_CAMP. REG)'!$F$333:$Q$447,12,FALSE)</f>
        <v>118.03</v>
      </c>
      <c r="CF19" s="75">
        <f>UNINASSAU.[[#This Row],[Nº Parcelas]]</f>
        <v>19</v>
      </c>
      <c r="CG19" s="75">
        <f>UNINASSAU.[[#This Row],[Nº Parcelas normal2]]-1</f>
        <v>18</v>
      </c>
      <c r="CH19" s="73">
        <f>UNINASSAU.[[#This Row],[$ NORMAL]]</f>
        <v>291.43870800000002</v>
      </c>
      <c r="CI19" s="72">
        <f>UNINASSAU.[[#This Row],[%  SITE]]</f>
        <v>0.5</v>
      </c>
      <c r="CJ19" s="73">
        <f>UNINASSAU.[[#This Row],[$ SITE]]</f>
        <v>131.15</v>
      </c>
      <c r="CK19" s="72">
        <f>UNINASSAU.[[#This Row],[%  SGP]]</f>
        <v>0.55000000000000004</v>
      </c>
      <c r="CL19" s="73">
        <f>UNINASSAU.[[#This Row],[$ SGP]]</f>
        <v>118.03</v>
      </c>
      <c r="CM19" s="69" t="s">
        <v>351</v>
      </c>
      <c r="CN19" s="69" t="s">
        <v>372</v>
      </c>
      <c r="CO19" s="73"/>
      <c r="CP19" s="104">
        <v>16</v>
      </c>
      <c r="CQ19" s="121" t="s">
        <v>270</v>
      </c>
      <c r="CR19" s="67"/>
      <c r="CS19" s="152"/>
      <c r="CT19" s="153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</row>
    <row r="20" spans="1:109" ht="16.5" customHeight="1" x14ac:dyDescent="0.25">
      <c r="A20" s="48"/>
      <c r="B20" s="28"/>
      <c r="C20" s="28"/>
      <c r="D20" s="41">
        <f ca="1">IFERROR(VLOOKUP($CS$1,INDIRECT($CW$1),7,FALSE),"")</f>
        <v>0.5</v>
      </c>
      <c r="E20" s="42">
        <f ca="1">IFERROR(VLOOKUP($CS$1,INDIRECT($CW$1),8,FALSE),"")</f>
        <v>131.15</v>
      </c>
      <c r="F20" s="43">
        <f ca="1">IFERROR(VLOOKUP($CS$1,INDIRECT($CW$1),5,FALSE),"")</f>
        <v>19</v>
      </c>
      <c r="G20" s="43">
        <f ca="1">IFERROR(VLOOKUP($CS$1,INDIRECT($CW$1),5,FALSE),"")</f>
        <v>19</v>
      </c>
      <c r="H20" s="28"/>
      <c r="I20" s="29"/>
      <c r="J20" s="8"/>
      <c r="K20" s="8"/>
      <c r="L20" s="69"/>
      <c r="M20" s="69"/>
      <c r="N20" s="121" t="s">
        <v>318</v>
      </c>
      <c r="O20" s="69" t="s">
        <v>19</v>
      </c>
      <c r="P20" s="69" t="str">
        <f>VLOOKUP(UNIFAEL.[[#This Row],[CURSO]],'[1]POS_VIVO_0112 a 3101_CAMP. REG)'!$F$5:$G$113,2,FALSE)</f>
        <v>Educação</v>
      </c>
      <c r="Q20" s="68">
        <f>VLOOKUP(UNIFAEL.[[#This Row],[CURSO]],'[1]POS_VIVO_0112 a 3101_CAMP. REG)'!$F$5:$H$113,3,FALSE)</f>
        <v>12</v>
      </c>
      <c r="R20" s="68">
        <f>VLOOKUP(UNIFAEL.[[#This Row],[CURSO]],'[1]POS_VIVO_0112 a 3101_CAMP. REG)'!$F$5:$I$113,4,FALSE)</f>
        <v>19</v>
      </c>
      <c r="S20" s="73">
        <f>VLOOKUP(UNIFAEL.[[#This Row],[CURSO]],'[1]POS_VIVO_0112 a 3101_CAMP. REG)'!$F$5:$J$113,5,FALSE)</f>
        <v>262.27804200000003</v>
      </c>
      <c r="T20" s="124">
        <f>VLOOKUP(UNIFAEL.[[#This Row],[CURSO]],'[1]POS_VIVO_0112 a 3101_CAMP. REG)'!$F$5:$L$113,7,FALSE)</f>
        <v>0.4</v>
      </c>
      <c r="U20" s="73">
        <f>VLOOKUP(UNIFAEL.[[#This Row],[CURSO]],'[1]POS_VIVO_0112 a 3101_CAMP. REG)'!$F$5:$M$113,8,FALSE)</f>
        <v>141.63</v>
      </c>
      <c r="V20" s="72">
        <f>VLOOKUP(UNIFAEL.[[#This Row],[CURSO]],'[1]POS_VIVO_0112 a 3101_CAMP. REG)'!$F$5:$P$113,11,FALSE)</f>
        <v>0.45</v>
      </c>
      <c r="W20" s="73">
        <f>VLOOKUP(UNIFAEL.[[#This Row],[CURSO]],'[1]POS_VIVO_0112 a 3101_CAMP. REG)'!$F$5:$Q$113,12,FALSE)</f>
        <v>129.83000000000001</v>
      </c>
      <c r="X20" s="75">
        <f>UNIFAEL.[[#This Row],[Nº Parcelas]]</f>
        <v>19</v>
      </c>
      <c r="Y20" s="75">
        <f>UNIFAEL.[[#This Row],[Nº Parcelas normal2]]-1</f>
        <v>18</v>
      </c>
      <c r="Z20" s="73">
        <f>UNIFAEL.[[#This Row],[$ NORMAL]]</f>
        <v>262.27804200000003</v>
      </c>
      <c r="AA20" s="72">
        <f>UNIFAEL.[[#This Row],[%  SITE]]</f>
        <v>0.4</v>
      </c>
      <c r="AB20" s="73">
        <f>UNIFAEL.[[#This Row],[$ SITE]]</f>
        <v>141.63</v>
      </c>
      <c r="AC20" s="72">
        <f>UNIFAEL.[[#This Row],[%  SGP]]</f>
        <v>0.45</v>
      </c>
      <c r="AD20" s="73">
        <f>UNIFAEL.[[#This Row],[$ SGP]]</f>
        <v>129.83000000000001</v>
      </c>
      <c r="AE20" s="69" t="s">
        <v>371</v>
      </c>
      <c r="AF20" s="69" t="s">
        <v>372</v>
      </c>
      <c r="AH20" s="121" t="s">
        <v>318</v>
      </c>
      <c r="AI20" s="69" t="s">
        <v>19</v>
      </c>
      <c r="AJ20" s="69" t="str">
        <f>VLOOKUP(UNAMA.[[#This Row],[PARCELA MATRICULA NÃO PAGA]],'[1]POS_VIVO_0112 a 3101_CAMP. REG)'!$F$115:$G$222,2,FALSE)</f>
        <v>Educação</v>
      </c>
      <c r="AK20" s="69">
        <f>VLOOKUP(UNAMA.[[#This Row],[PARCELA MATRICULA NÃO PAGA]],'[1]POS_VIVO_0112 a 3101_CAMP. REG)'!$F$115:$H$222,3,FALSE)</f>
        <v>12</v>
      </c>
      <c r="AL20" s="69">
        <f>VLOOKUP(UNAMA.[[#This Row],[PARCELA MATRICULA NÃO PAGA]],'[1]POS_VIVO_0112 a 3101_CAMP. REG)'!$F$115:$I$222,4,FALSE)</f>
        <v>19</v>
      </c>
      <c r="AM20" s="73">
        <f>VLOOKUP(UNAMA.[[#This Row],[PARCELA MATRICULA NÃO PAGA]],'[1]POS_VIVO_0112 a 3101_CAMP. REG)'!$F$115:$J$222,5,FALSE)</f>
        <v>291.43870800000002</v>
      </c>
      <c r="AN20" s="123">
        <f>VLOOKUP(UNAMA.[[#This Row],[PARCELA MATRICULA NÃO PAGA]],'[1]POS_VIVO_0112 a 3101_CAMP. REG)'!$F$115:$L$222,7,FALSE)</f>
        <v>0.4</v>
      </c>
      <c r="AO20" s="73">
        <f>VLOOKUP(UNAMA.[[#This Row],[PARCELA MATRICULA NÃO PAGA]],'[1]POS_VIVO_0112 a 3101_CAMP. REG)'!$F$115:$M$222,8,FALSE)</f>
        <v>157.38</v>
      </c>
      <c r="AP20" s="72">
        <f>VLOOKUP(UNAMA.[[#This Row],[PARCELA MATRICULA NÃO PAGA]],'[1]POS_VIVO_0112 a 3101_CAMP. REG)'!$F$115:$P$222,11,FALSE)</f>
        <v>0.45</v>
      </c>
      <c r="AQ20" s="73">
        <f>VLOOKUP(UNAMA.[[#This Row],[PARCELA MATRICULA NÃO PAGA]],'[1]POS_VIVO_0112 a 3101_CAMP. REG)'!$F$115:$Q$222,12,FALSE)</f>
        <v>144.26</v>
      </c>
      <c r="AR20" s="68">
        <f>UNAMA.[[#This Row],[Nº Parcelas]]</f>
        <v>19</v>
      </c>
      <c r="AS20" s="68">
        <f>UNAMA.[[#This Row],[Nº Parcelas normal2]]-1</f>
        <v>18</v>
      </c>
      <c r="AT20" s="71">
        <f>UNAMA.[[#This Row],[$ NORMAL]]</f>
        <v>291.43870800000002</v>
      </c>
      <c r="AU20" s="162">
        <f>UNAMA.[[#This Row],[%  SITE]]</f>
        <v>0.4</v>
      </c>
      <c r="AV20" s="161">
        <f>UNAMA.[[#This Row],[$ SITE]]</f>
        <v>157.38</v>
      </c>
      <c r="AW20" s="162">
        <f>UNAMA.[[#This Row],[%  SGP]]</f>
        <v>0.45</v>
      </c>
      <c r="AX20" s="161">
        <f>UNAMA.[[#This Row],[$ SGP]]</f>
        <v>144.26</v>
      </c>
      <c r="AY20" s="69" t="s">
        <v>351</v>
      </c>
      <c r="AZ20" s="69" t="s">
        <v>372</v>
      </c>
      <c r="BB20" s="121" t="s">
        <v>318</v>
      </c>
      <c r="BC20" s="69" t="s">
        <v>19</v>
      </c>
      <c r="BD20" s="69" t="str">
        <f>VLOOKUP(UNG.[[#This Row],[CURSO]],'[1]POS_VIVO_0112 a 3101_CAMP. REG)'!$F$224:$G$331,2,FALSE)</f>
        <v>Educação</v>
      </c>
      <c r="BE20" s="68">
        <f>VLOOKUP(UNG.[[#This Row],[CURSO]],'[1]POS_VIVO_0112 a 3101_CAMP. REG)'!$F$224:$H$331,3,FALSE)</f>
        <v>12</v>
      </c>
      <c r="BF20" s="68">
        <f>VLOOKUP(UNG.[[#This Row],[CURSO]],'[1]POS_VIVO_0112 a 3101_CAMP. REG)'!$F$224:$I$331,4,FALSE)</f>
        <v>19</v>
      </c>
      <c r="BG20" s="73">
        <f>VLOOKUP(UNG.[[#This Row],[CURSO]],'[1]POS_VIVO_0112 a 3101_CAMP. REG)'!$F$224:$J$331,5,FALSE)</f>
        <v>262.27804200000003</v>
      </c>
      <c r="BH20" s="72">
        <f>VLOOKUP(UNG.[[#This Row],[CURSO]],'[1]POS_VIVO_0112 a 3101_CAMP. REG)'!$F$224:$L$331,7,FALSE)</f>
        <v>0.4</v>
      </c>
      <c r="BI20" s="73">
        <f>VLOOKUP(UNG.[[#This Row],[CURSO]],'[1]POS_VIVO_0112 a 3101_CAMP. REG)'!$F$224:$M$331,8,FALSE)</f>
        <v>141.63</v>
      </c>
      <c r="BJ20" s="72">
        <f>VLOOKUP(UNG.[[#This Row],[CURSO]],'[1]POS_VIVO_0112 a 3101_CAMP. REG)'!$F$224:$P$331,11,FALSE)</f>
        <v>0.45</v>
      </c>
      <c r="BK20" s="73">
        <f>VLOOKUP(UNG.[[#This Row],[CURSO]],'[1]POS_VIVO_0112 a 3101_CAMP. REG)'!$F$224:$Q$331,12,FALSE)</f>
        <v>129.83000000000001</v>
      </c>
      <c r="BL20" s="75">
        <f>UNG.[[#This Row],[Nº Parcelas]]</f>
        <v>19</v>
      </c>
      <c r="BM20" s="75">
        <f>UNG.[[#This Row],[Nº Parcelas normal2]]-1</f>
        <v>18</v>
      </c>
      <c r="BN20" s="73">
        <f>UNG.[[#This Row],[$ NORMAL]]</f>
        <v>262.27804200000003</v>
      </c>
      <c r="BO20" s="72">
        <f>UNG.[[#This Row],[%  SITE]]</f>
        <v>0.4</v>
      </c>
      <c r="BP20" s="73">
        <f>UNG.[[#This Row],[$ SITE]]</f>
        <v>141.63</v>
      </c>
      <c r="BQ20" s="72">
        <f>UNG.[[#This Row],[%  SGP]]</f>
        <v>0.45</v>
      </c>
      <c r="BR20" s="73">
        <f>UNG.[[#This Row],[$ SGP]]</f>
        <v>129.83000000000001</v>
      </c>
      <c r="BS20" s="69" t="s">
        <v>351</v>
      </c>
      <c r="BT20" s="69" t="s">
        <v>372</v>
      </c>
      <c r="BV20" s="121" t="s">
        <v>318</v>
      </c>
      <c r="BW20" s="69" t="s">
        <v>19</v>
      </c>
      <c r="BX20" s="69" t="str">
        <f>VLOOKUP(UNINASSAU.[[#This Row],[CURSO]],'[1]POS_VIVO_0112 a 3101_CAMP. REG)'!$F$333:$G$447,2,FALSE)</f>
        <v>Educação</v>
      </c>
      <c r="BY20" s="68">
        <f>VLOOKUP(UNINASSAU.[[#This Row],[CURSO]],'[1]POS_VIVO_0112 a 3101_CAMP. REG)'!$F$333:$H$447,3,FALSE)</f>
        <v>12</v>
      </c>
      <c r="BZ20" s="68">
        <f>VLOOKUP(UNINASSAU.[[#This Row],[CURSO]],'[1]POS_VIVO_0112 a 3101_CAMP. REG)'!$F$333:$I$447,4,FALSE)</f>
        <v>19</v>
      </c>
      <c r="CA20" s="73">
        <f>VLOOKUP(UNINASSAU.[[#This Row],[CURSO]],'[1]POS_VIVO_0112 a 3101_CAMP. REG)'!$F$333:$J$447,5,FALSE)</f>
        <v>262.27804200000003</v>
      </c>
      <c r="CB20" s="72">
        <f>VLOOKUP(UNINASSAU.[[#This Row],[CURSO]],'[1]POS_VIVO_0112 a 3101_CAMP. REG)'!$F$333:$L$447,7,FALSE)</f>
        <v>0.4</v>
      </c>
      <c r="CC20" s="73">
        <f>VLOOKUP(UNINASSAU.[[#This Row],[CURSO]],'[1]POS_VIVO_0112 a 3101_CAMP. REG)'!$F$333:$M$447,8,FALSE)</f>
        <v>141.63</v>
      </c>
      <c r="CD20" s="72">
        <f>VLOOKUP(UNINASSAU.[[#This Row],[CURSO]],'[1]POS_VIVO_0112 a 3101_CAMP. REG)'!$F$333:$P$447,11,FALSE)</f>
        <v>0.45</v>
      </c>
      <c r="CE20" s="73">
        <f>VLOOKUP(UNINASSAU.[[#This Row],[CURSO]],'[1]POS_VIVO_0112 a 3101_CAMP. REG)'!$F$333:$Q$447,12,FALSE)</f>
        <v>129.83000000000001</v>
      </c>
      <c r="CF20" s="75">
        <f>UNINASSAU.[[#This Row],[Nº Parcelas]]</f>
        <v>19</v>
      </c>
      <c r="CG20" s="75">
        <f>UNINASSAU.[[#This Row],[Nº Parcelas normal2]]-1</f>
        <v>18</v>
      </c>
      <c r="CH20" s="73">
        <f>UNINASSAU.[[#This Row],[$ NORMAL]]</f>
        <v>262.27804200000003</v>
      </c>
      <c r="CI20" s="72">
        <f>UNINASSAU.[[#This Row],[%  SITE]]</f>
        <v>0.4</v>
      </c>
      <c r="CJ20" s="73">
        <f>UNINASSAU.[[#This Row],[$ SITE]]</f>
        <v>141.63</v>
      </c>
      <c r="CK20" s="72">
        <f>UNINASSAU.[[#This Row],[%  SGP]]</f>
        <v>0.45</v>
      </c>
      <c r="CL20" s="73">
        <f>UNINASSAU.[[#This Row],[$ SGP]]</f>
        <v>129.83000000000001</v>
      </c>
      <c r="CM20" s="69" t="s">
        <v>351</v>
      </c>
      <c r="CN20" s="69" t="s">
        <v>372</v>
      </c>
      <c r="CP20" s="104">
        <v>17</v>
      </c>
      <c r="CQ20" s="121" t="s">
        <v>272</v>
      </c>
      <c r="CR20" s="67"/>
      <c r="CW20" s="149"/>
    </row>
    <row r="21" spans="1:109" ht="15.95" customHeight="1" x14ac:dyDescent="0.25">
      <c r="A21" s="47"/>
      <c r="B21" s="28"/>
      <c r="C21" s="28"/>
      <c r="D21" s="26" t="str">
        <f ca="1">IF($D$20=0,"","▶  O valor da mensalidade já inclui o desconto de pontualidade de 10% para pagamento no dia 08/mês")</f>
        <v>▶  O valor da mensalidade já inclui o desconto de pontualidade de 10% para pagamento no dia 08/mês</v>
      </c>
      <c r="E21" s="11"/>
      <c r="F21" s="12"/>
      <c r="G21" s="33"/>
      <c r="H21" s="28"/>
      <c r="I21" s="29"/>
      <c r="J21" s="1"/>
      <c r="K21" s="1"/>
      <c r="N21" s="121" t="s">
        <v>283</v>
      </c>
      <c r="O21" s="69" t="s">
        <v>19</v>
      </c>
      <c r="P21" s="69" t="str">
        <f>VLOOKUP(UNIFAEL.[[#This Row],[CURSO]],'[1]POS_VIVO_0112 a 3101_CAMP. REG)'!$F$5:$G$113,2,FALSE)</f>
        <v>Direito</v>
      </c>
      <c r="Q21" s="68">
        <f>VLOOKUP(UNIFAEL.[[#This Row],[CURSO]],'[1]POS_VIVO_0112 a 3101_CAMP. REG)'!$F$5:$H$113,3,FALSE)</f>
        <v>12</v>
      </c>
      <c r="R21" s="68">
        <f>VLOOKUP(UNIFAEL.[[#This Row],[CURSO]],'[1]POS_VIVO_0112 a 3101_CAMP. REG)'!$F$5:$I$113,4,FALSE)</f>
        <v>19</v>
      </c>
      <c r="S21" s="73">
        <f>VLOOKUP(UNIFAEL.[[#This Row],[CURSO]],'[1]POS_VIVO_0112 a 3101_CAMP. REG)'!$F$5:$J$113,5,FALSE)</f>
        <v>262.27804200000003</v>
      </c>
      <c r="T21" s="124">
        <f>VLOOKUP(UNIFAEL.[[#This Row],[CURSO]],'[1]POS_VIVO_0112 a 3101_CAMP. REG)'!$F$5:$L$113,7,FALSE)</f>
        <v>0.4</v>
      </c>
      <c r="U21" s="73">
        <f>VLOOKUP(UNIFAEL.[[#This Row],[CURSO]],'[1]POS_VIVO_0112 a 3101_CAMP. REG)'!$F$5:$M$113,8,FALSE)</f>
        <v>141.63</v>
      </c>
      <c r="V21" s="72">
        <f>VLOOKUP(UNIFAEL.[[#This Row],[CURSO]],'[1]POS_VIVO_0112 a 3101_CAMP. REG)'!$F$5:$P$113,11,FALSE)</f>
        <v>0.45</v>
      </c>
      <c r="W21" s="73">
        <f>VLOOKUP(UNIFAEL.[[#This Row],[CURSO]],'[1]POS_VIVO_0112 a 3101_CAMP. REG)'!$F$5:$Q$113,12,FALSE)</f>
        <v>129.83000000000001</v>
      </c>
      <c r="X21" s="75">
        <f>UNIFAEL.[[#This Row],[Nº Parcelas]]</f>
        <v>19</v>
      </c>
      <c r="Y21" s="75">
        <f>UNIFAEL.[[#This Row],[Nº Parcelas normal2]]-1</f>
        <v>18</v>
      </c>
      <c r="Z21" s="73">
        <f>UNIFAEL.[[#This Row],[$ NORMAL]]</f>
        <v>262.27804200000003</v>
      </c>
      <c r="AA21" s="72">
        <f>UNIFAEL.[[#This Row],[%  SITE]]</f>
        <v>0.4</v>
      </c>
      <c r="AB21" s="73">
        <f>UNIFAEL.[[#This Row],[$ SITE]]</f>
        <v>141.63</v>
      </c>
      <c r="AC21" s="72">
        <f>UNIFAEL.[[#This Row],[%  SGP]]</f>
        <v>0.45</v>
      </c>
      <c r="AD21" s="73">
        <f>UNIFAEL.[[#This Row],[$ SGP]]</f>
        <v>129.83000000000001</v>
      </c>
      <c r="AE21" s="69" t="s">
        <v>371</v>
      </c>
      <c r="AF21" s="69" t="s">
        <v>372</v>
      </c>
      <c r="AH21" s="121" t="s">
        <v>283</v>
      </c>
      <c r="AI21" s="69" t="s">
        <v>19</v>
      </c>
      <c r="AJ21" s="69" t="str">
        <f>VLOOKUP(UNAMA.[[#This Row],[PARCELA MATRICULA NÃO PAGA]],'[1]POS_VIVO_0112 a 3101_CAMP. REG)'!$F$115:$G$222,2,FALSE)</f>
        <v>Direito</v>
      </c>
      <c r="AK21" s="69">
        <f>VLOOKUP(UNAMA.[[#This Row],[PARCELA MATRICULA NÃO PAGA]],'[1]POS_VIVO_0112 a 3101_CAMP. REG)'!$F$115:$H$222,3,FALSE)</f>
        <v>12</v>
      </c>
      <c r="AL21" s="69">
        <f>VLOOKUP(UNAMA.[[#This Row],[PARCELA MATRICULA NÃO PAGA]],'[1]POS_VIVO_0112 a 3101_CAMP. REG)'!$F$115:$I$222,4,FALSE)</f>
        <v>19</v>
      </c>
      <c r="AM21" s="73">
        <f>VLOOKUP(UNAMA.[[#This Row],[PARCELA MATRICULA NÃO PAGA]],'[1]POS_VIVO_0112 a 3101_CAMP. REG)'!$F$115:$J$222,5,FALSE)</f>
        <v>291.43870800000002</v>
      </c>
      <c r="AN21" s="123">
        <f>VLOOKUP(UNAMA.[[#This Row],[PARCELA MATRICULA NÃO PAGA]],'[1]POS_VIVO_0112 a 3101_CAMP. REG)'!$F$115:$L$222,7,FALSE)</f>
        <v>0.4</v>
      </c>
      <c r="AO21" s="73">
        <f>VLOOKUP(UNAMA.[[#This Row],[PARCELA MATRICULA NÃO PAGA]],'[1]POS_VIVO_0112 a 3101_CAMP. REG)'!$F$115:$M$222,8,FALSE)</f>
        <v>157.38</v>
      </c>
      <c r="AP21" s="72">
        <f>VLOOKUP(UNAMA.[[#This Row],[PARCELA MATRICULA NÃO PAGA]],'[1]POS_VIVO_0112 a 3101_CAMP. REG)'!$F$115:$P$222,11,FALSE)</f>
        <v>0.45</v>
      </c>
      <c r="AQ21" s="73">
        <f>VLOOKUP(UNAMA.[[#This Row],[PARCELA MATRICULA NÃO PAGA]],'[1]POS_VIVO_0112 a 3101_CAMP. REG)'!$F$115:$Q$222,12,FALSE)</f>
        <v>144.26</v>
      </c>
      <c r="AR21" s="68">
        <f>UNAMA.[[#This Row],[Nº Parcelas]]</f>
        <v>19</v>
      </c>
      <c r="AS21" s="68">
        <f>UNAMA.[[#This Row],[Nº Parcelas normal2]]-1</f>
        <v>18</v>
      </c>
      <c r="AT21" s="71">
        <f>UNAMA.[[#This Row],[$ NORMAL]]</f>
        <v>291.43870800000002</v>
      </c>
      <c r="AU21" s="162">
        <f>UNAMA.[[#This Row],[%  SITE]]</f>
        <v>0.4</v>
      </c>
      <c r="AV21" s="161">
        <f>UNAMA.[[#This Row],[$ SITE]]</f>
        <v>157.38</v>
      </c>
      <c r="AW21" s="162">
        <f>UNAMA.[[#This Row],[%  SGP]]</f>
        <v>0.45</v>
      </c>
      <c r="AX21" s="161">
        <f>UNAMA.[[#This Row],[$ SGP]]</f>
        <v>144.26</v>
      </c>
      <c r="AY21" s="69" t="s">
        <v>351</v>
      </c>
      <c r="AZ21" s="69" t="s">
        <v>372</v>
      </c>
      <c r="BB21" s="121" t="s">
        <v>283</v>
      </c>
      <c r="BC21" s="69" t="s">
        <v>19</v>
      </c>
      <c r="BD21" s="69" t="str">
        <f>VLOOKUP(UNG.[[#This Row],[CURSO]],'[1]POS_VIVO_0112 a 3101_CAMP. REG)'!$F$224:$G$331,2,FALSE)</f>
        <v>Direito</v>
      </c>
      <c r="BE21" s="68">
        <f>VLOOKUP(UNG.[[#This Row],[CURSO]],'[1]POS_VIVO_0112 a 3101_CAMP. REG)'!$F$224:$H$331,3,FALSE)</f>
        <v>12</v>
      </c>
      <c r="BF21" s="68">
        <f>VLOOKUP(UNG.[[#This Row],[CURSO]],'[1]POS_VIVO_0112 a 3101_CAMP. REG)'!$F$224:$I$331,4,FALSE)</f>
        <v>19</v>
      </c>
      <c r="BG21" s="73">
        <f>VLOOKUP(UNG.[[#This Row],[CURSO]],'[1]POS_VIVO_0112 a 3101_CAMP. REG)'!$F$224:$J$331,5,FALSE)</f>
        <v>262.27804200000003</v>
      </c>
      <c r="BH21" s="72">
        <f>VLOOKUP(UNG.[[#This Row],[CURSO]],'[1]POS_VIVO_0112 a 3101_CAMP. REG)'!$F$224:$L$331,7,FALSE)</f>
        <v>0.4</v>
      </c>
      <c r="BI21" s="73">
        <f>VLOOKUP(UNG.[[#This Row],[CURSO]],'[1]POS_VIVO_0112 a 3101_CAMP. REG)'!$F$224:$M$331,8,FALSE)</f>
        <v>141.63</v>
      </c>
      <c r="BJ21" s="72">
        <f>VLOOKUP(UNG.[[#This Row],[CURSO]],'[1]POS_VIVO_0112 a 3101_CAMP. REG)'!$F$224:$P$331,11,FALSE)</f>
        <v>0.45</v>
      </c>
      <c r="BK21" s="73">
        <f>VLOOKUP(UNG.[[#This Row],[CURSO]],'[1]POS_VIVO_0112 a 3101_CAMP. REG)'!$F$224:$Q$331,12,FALSE)</f>
        <v>129.83000000000001</v>
      </c>
      <c r="BL21" s="75">
        <f>UNG.[[#This Row],[Nº Parcelas]]</f>
        <v>19</v>
      </c>
      <c r="BM21" s="75">
        <f>UNG.[[#This Row],[Nº Parcelas normal2]]-1</f>
        <v>18</v>
      </c>
      <c r="BN21" s="73">
        <f>UNG.[[#This Row],[$ NORMAL]]</f>
        <v>262.27804200000003</v>
      </c>
      <c r="BO21" s="72">
        <f>UNG.[[#This Row],[%  SITE]]</f>
        <v>0.4</v>
      </c>
      <c r="BP21" s="73">
        <f>UNG.[[#This Row],[$ SITE]]</f>
        <v>141.63</v>
      </c>
      <c r="BQ21" s="72">
        <f>UNG.[[#This Row],[%  SGP]]</f>
        <v>0.45</v>
      </c>
      <c r="BR21" s="73">
        <f>UNG.[[#This Row],[$ SGP]]</f>
        <v>129.83000000000001</v>
      </c>
      <c r="BS21" s="69" t="s">
        <v>351</v>
      </c>
      <c r="BT21" s="69" t="s">
        <v>372</v>
      </c>
      <c r="BV21" s="121" t="s">
        <v>283</v>
      </c>
      <c r="BW21" s="69" t="s">
        <v>19</v>
      </c>
      <c r="BX21" s="69" t="str">
        <f>VLOOKUP(UNINASSAU.[[#This Row],[CURSO]],'[1]POS_VIVO_0112 a 3101_CAMP. REG)'!$F$333:$G$447,2,FALSE)</f>
        <v>Direito</v>
      </c>
      <c r="BY21" s="68">
        <f>VLOOKUP(UNINASSAU.[[#This Row],[CURSO]],'[1]POS_VIVO_0112 a 3101_CAMP. REG)'!$F$333:$H$447,3,FALSE)</f>
        <v>12</v>
      </c>
      <c r="BZ21" s="68">
        <f>VLOOKUP(UNINASSAU.[[#This Row],[CURSO]],'[1]POS_VIVO_0112 a 3101_CAMP. REG)'!$F$333:$I$447,4,FALSE)</f>
        <v>19</v>
      </c>
      <c r="CA21" s="73">
        <f>VLOOKUP(UNINASSAU.[[#This Row],[CURSO]],'[1]POS_VIVO_0112 a 3101_CAMP. REG)'!$F$333:$J$447,5,FALSE)</f>
        <v>262.27804200000003</v>
      </c>
      <c r="CB21" s="72">
        <f>VLOOKUP(UNINASSAU.[[#This Row],[CURSO]],'[1]POS_VIVO_0112 a 3101_CAMP. REG)'!$F$333:$L$447,7,FALSE)</f>
        <v>0.4</v>
      </c>
      <c r="CC21" s="73">
        <f>VLOOKUP(UNINASSAU.[[#This Row],[CURSO]],'[1]POS_VIVO_0112 a 3101_CAMP. REG)'!$F$333:$M$447,8,FALSE)</f>
        <v>141.63</v>
      </c>
      <c r="CD21" s="72">
        <f>VLOOKUP(UNINASSAU.[[#This Row],[CURSO]],'[1]POS_VIVO_0112 a 3101_CAMP. REG)'!$F$333:$P$447,11,FALSE)</f>
        <v>0.45</v>
      </c>
      <c r="CE21" s="73">
        <f>VLOOKUP(UNINASSAU.[[#This Row],[CURSO]],'[1]POS_VIVO_0112 a 3101_CAMP. REG)'!$F$333:$Q$447,12,FALSE)</f>
        <v>129.83000000000001</v>
      </c>
      <c r="CF21" s="75">
        <f>UNINASSAU.[[#This Row],[Nº Parcelas]]</f>
        <v>19</v>
      </c>
      <c r="CG21" s="75">
        <f>UNINASSAU.[[#This Row],[Nº Parcelas normal2]]-1</f>
        <v>18</v>
      </c>
      <c r="CH21" s="73">
        <f>UNINASSAU.[[#This Row],[$ NORMAL]]</f>
        <v>262.27804200000003</v>
      </c>
      <c r="CI21" s="72">
        <f>UNINASSAU.[[#This Row],[%  SITE]]</f>
        <v>0.4</v>
      </c>
      <c r="CJ21" s="73">
        <f>UNINASSAU.[[#This Row],[$ SITE]]</f>
        <v>141.63</v>
      </c>
      <c r="CK21" s="72">
        <f>UNINASSAU.[[#This Row],[%  SGP]]</f>
        <v>0.45</v>
      </c>
      <c r="CL21" s="73">
        <f>UNINASSAU.[[#This Row],[$ SGP]]</f>
        <v>129.83000000000001</v>
      </c>
      <c r="CM21" s="69" t="s">
        <v>351</v>
      </c>
      <c r="CN21" s="69" t="s">
        <v>372</v>
      </c>
      <c r="CP21" s="104">
        <v>18</v>
      </c>
      <c r="CQ21" s="121" t="s">
        <v>273</v>
      </c>
      <c r="CR21" s="67"/>
    </row>
    <row r="22" spans="1:109" ht="9" customHeight="1" x14ac:dyDescent="0.25">
      <c r="A22" s="47"/>
      <c r="B22" s="17"/>
      <c r="C22" s="17"/>
      <c r="D22" s="26"/>
      <c r="E22" s="18"/>
      <c r="F22" s="18"/>
      <c r="G22" s="17"/>
      <c r="H22" s="17"/>
      <c r="I22" s="19"/>
      <c r="J22" s="1"/>
      <c r="K22" s="1"/>
      <c r="N22" s="121" t="s">
        <v>275</v>
      </c>
      <c r="O22" s="69" t="s">
        <v>19</v>
      </c>
      <c r="P22" s="69" t="str">
        <f>VLOOKUP(UNIFAEL.[[#This Row],[CURSO]],'[1]POS_VIVO_0112 a 3101_CAMP. REG)'!$F$5:$G$113,2,FALSE)</f>
        <v>Direito</v>
      </c>
      <c r="Q22" s="68">
        <f>VLOOKUP(UNIFAEL.[[#This Row],[CURSO]],'[1]POS_VIVO_0112 a 3101_CAMP. REG)'!$F$5:$H$113,3,FALSE)</f>
        <v>12</v>
      </c>
      <c r="R22" s="68">
        <f>VLOOKUP(UNIFAEL.[[#This Row],[CURSO]],'[1]POS_VIVO_0112 a 3101_CAMP. REG)'!$F$5:$I$113,4,FALSE)</f>
        <v>19</v>
      </c>
      <c r="S22" s="73">
        <f>VLOOKUP(UNIFAEL.[[#This Row],[CURSO]],'[1]POS_VIVO_0112 a 3101_CAMP. REG)'!$F$5:$J$113,5,FALSE)</f>
        <v>262.27804200000003</v>
      </c>
      <c r="T22" s="124">
        <f>VLOOKUP(UNIFAEL.[[#This Row],[CURSO]],'[1]POS_VIVO_0112 a 3101_CAMP. REG)'!$F$5:$L$113,7,FALSE)</f>
        <v>0.3</v>
      </c>
      <c r="U22" s="73">
        <f>VLOOKUP(UNIFAEL.[[#This Row],[CURSO]],'[1]POS_VIVO_0112 a 3101_CAMP. REG)'!$F$5:$M$113,8,FALSE)</f>
        <v>165.24</v>
      </c>
      <c r="V22" s="72">
        <f>VLOOKUP(UNIFAEL.[[#This Row],[CURSO]],'[1]POS_VIVO_0112 a 3101_CAMP. REG)'!$F$5:$P$113,11,FALSE)</f>
        <v>0.35</v>
      </c>
      <c r="W22" s="73">
        <f>VLOOKUP(UNIFAEL.[[#This Row],[CURSO]],'[1]POS_VIVO_0112 a 3101_CAMP. REG)'!$F$5:$Q$113,12,FALSE)</f>
        <v>153.43</v>
      </c>
      <c r="X22" s="75">
        <f>UNIFAEL.[[#This Row],[Nº Parcelas]]</f>
        <v>19</v>
      </c>
      <c r="Y22" s="75">
        <f>UNIFAEL.[[#This Row],[Nº Parcelas normal2]]-1</f>
        <v>18</v>
      </c>
      <c r="Z22" s="73">
        <f>UNIFAEL.[[#This Row],[$ NORMAL]]</f>
        <v>262.27804200000003</v>
      </c>
      <c r="AA22" s="72">
        <f>UNIFAEL.[[#This Row],[%  SITE]]</f>
        <v>0.3</v>
      </c>
      <c r="AB22" s="73">
        <f>UNIFAEL.[[#This Row],[$ SITE]]</f>
        <v>165.24</v>
      </c>
      <c r="AC22" s="72">
        <f>UNIFAEL.[[#This Row],[%  SGP]]</f>
        <v>0.35</v>
      </c>
      <c r="AD22" s="73">
        <f>UNIFAEL.[[#This Row],[$ SGP]]</f>
        <v>153.43</v>
      </c>
      <c r="AE22" s="69" t="s">
        <v>371</v>
      </c>
      <c r="AF22" s="69" t="s">
        <v>372</v>
      </c>
      <c r="AH22" s="121" t="s">
        <v>275</v>
      </c>
      <c r="AI22" s="69" t="s">
        <v>19</v>
      </c>
      <c r="AJ22" s="69" t="str">
        <f>VLOOKUP(UNAMA.[[#This Row],[PARCELA MATRICULA NÃO PAGA]],'[1]POS_VIVO_0112 a 3101_CAMP. REG)'!$F$115:$G$222,2,FALSE)</f>
        <v>Direito</v>
      </c>
      <c r="AK22" s="69">
        <f>VLOOKUP(UNAMA.[[#This Row],[PARCELA MATRICULA NÃO PAGA]],'[1]POS_VIVO_0112 a 3101_CAMP. REG)'!$F$115:$H$222,3,FALSE)</f>
        <v>12</v>
      </c>
      <c r="AL22" s="69">
        <f>VLOOKUP(UNAMA.[[#This Row],[PARCELA MATRICULA NÃO PAGA]],'[1]POS_VIVO_0112 a 3101_CAMP. REG)'!$F$115:$I$222,4,FALSE)</f>
        <v>19</v>
      </c>
      <c r="AM22" s="73">
        <f>VLOOKUP(UNAMA.[[#This Row],[PARCELA MATRICULA NÃO PAGA]],'[1]POS_VIVO_0112 a 3101_CAMP. REG)'!$F$115:$J$222,5,FALSE)</f>
        <v>291.43870800000002</v>
      </c>
      <c r="AN22" s="123">
        <f>VLOOKUP(UNAMA.[[#This Row],[PARCELA MATRICULA NÃO PAGA]],'[1]POS_VIVO_0112 a 3101_CAMP. REG)'!$F$115:$L$222,7,FALSE)</f>
        <v>0.3</v>
      </c>
      <c r="AO22" s="73">
        <f>VLOOKUP(UNAMA.[[#This Row],[PARCELA MATRICULA NÃO PAGA]],'[1]POS_VIVO_0112 a 3101_CAMP. REG)'!$F$115:$M$222,8,FALSE)</f>
        <v>183.61</v>
      </c>
      <c r="AP22" s="72">
        <f>VLOOKUP(UNAMA.[[#This Row],[PARCELA MATRICULA NÃO PAGA]],'[1]POS_VIVO_0112 a 3101_CAMP. REG)'!$F$115:$P$222,11,FALSE)</f>
        <v>0.35</v>
      </c>
      <c r="AQ22" s="73">
        <f>VLOOKUP(UNAMA.[[#This Row],[PARCELA MATRICULA NÃO PAGA]],'[1]POS_VIVO_0112 a 3101_CAMP. REG)'!$F$115:$Q$222,12,FALSE)</f>
        <v>170.49</v>
      </c>
      <c r="AR22" s="68">
        <f>UNAMA.[[#This Row],[Nº Parcelas]]</f>
        <v>19</v>
      </c>
      <c r="AS22" s="68">
        <f>UNAMA.[[#This Row],[Nº Parcelas normal2]]-1</f>
        <v>18</v>
      </c>
      <c r="AT22" s="71">
        <f>UNAMA.[[#This Row],[$ NORMAL]]</f>
        <v>291.43870800000002</v>
      </c>
      <c r="AU22" s="162">
        <f>UNAMA.[[#This Row],[%  SITE]]</f>
        <v>0.3</v>
      </c>
      <c r="AV22" s="161">
        <f>UNAMA.[[#This Row],[$ SITE]]</f>
        <v>183.61</v>
      </c>
      <c r="AW22" s="162">
        <f>UNAMA.[[#This Row],[%  SGP]]</f>
        <v>0.35</v>
      </c>
      <c r="AX22" s="161">
        <f>UNAMA.[[#This Row],[$ SGP]]</f>
        <v>170.49</v>
      </c>
      <c r="AY22" s="69" t="s">
        <v>351</v>
      </c>
      <c r="AZ22" s="69" t="s">
        <v>372</v>
      </c>
      <c r="BB22" s="121" t="s">
        <v>275</v>
      </c>
      <c r="BC22" s="69" t="s">
        <v>19</v>
      </c>
      <c r="BD22" s="69" t="str">
        <f>VLOOKUP(UNG.[[#This Row],[CURSO]],'[1]POS_VIVO_0112 a 3101_CAMP. REG)'!$F$224:$G$331,2,FALSE)</f>
        <v>Direito</v>
      </c>
      <c r="BE22" s="68">
        <f>VLOOKUP(UNG.[[#This Row],[CURSO]],'[1]POS_VIVO_0112 a 3101_CAMP. REG)'!$F$224:$H$331,3,FALSE)</f>
        <v>12</v>
      </c>
      <c r="BF22" s="68">
        <f>VLOOKUP(UNG.[[#This Row],[CURSO]],'[1]POS_VIVO_0112 a 3101_CAMP. REG)'!$F$224:$I$331,4,FALSE)</f>
        <v>19</v>
      </c>
      <c r="BG22" s="73">
        <f>VLOOKUP(UNG.[[#This Row],[CURSO]],'[1]POS_VIVO_0112 a 3101_CAMP. REG)'!$F$224:$J$331,5,FALSE)</f>
        <v>262.27804200000003</v>
      </c>
      <c r="BH22" s="72">
        <f>VLOOKUP(UNG.[[#This Row],[CURSO]],'[1]POS_VIVO_0112 a 3101_CAMP. REG)'!$F$224:$L$331,7,FALSE)</f>
        <v>0.3</v>
      </c>
      <c r="BI22" s="73">
        <f>VLOOKUP(UNG.[[#This Row],[CURSO]],'[1]POS_VIVO_0112 a 3101_CAMP. REG)'!$F$224:$M$331,8,FALSE)</f>
        <v>165.24</v>
      </c>
      <c r="BJ22" s="72">
        <f>VLOOKUP(UNG.[[#This Row],[CURSO]],'[1]POS_VIVO_0112 a 3101_CAMP. REG)'!$F$224:$P$331,11,FALSE)</f>
        <v>0.35</v>
      </c>
      <c r="BK22" s="73">
        <f>VLOOKUP(UNG.[[#This Row],[CURSO]],'[1]POS_VIVO_0112 a 3101_CAMP. REG)'!$F$224:$Q$331,12,FALSE)</f>
        <v>153.43</v>
      </c>
      <c r="BL22" s="75">
        <f>UNG.[[#This Row],[Nº Parcelas]]</f>
        <v>19</v>
      </c>
      <c r="BM22" s="75">
        <f>UNG.[[#This Row],[Nº Parcelas normal2]]-1</f>
        <v>18</v>
      </c>
      <c r="BN22" s="73">
        <f>UNG.[[#This Row],[$ NORMAL]]</f>
        <v>262.27804200000003</v>
      </c>
      <c r="BO22" s="72">
        <f>UNG.[[#This Row],[%  SITE]]</f>
        <v>0.3</v>
      </c>
      <c r="BP22" s="73">
        <f>UNG.[[#This Row],[$ SITE]]</f>
        <v>165.24</v>
      </c>
      <c r="BQ22" s="72">
        <f>UNG.[[#This Row],[%  SGP]]</f>
        <v>0.35</v>
      </c>
      <c r="BR22" s="73">
        <f>UNG.[[#This Row],[$ SGP]]</f>
        <v>153.43</v>
      </c>
      <c r="BS22" s="69" t="s">
        <v>351</v>
      </c>
      <c r="BT22" s="69" t="s">
        <v>372</v>
      </c>
      <c r="BV22" s="121" t="s">
        <v>275</v>
      </c>
      <c r="BW22" s="69" t="s">
        <v>19</v>
      </c>
      <c r="BX22" s="69" t="str">
        <f>VLOOKUP(UNINASSAU.[[#This Row],[CURSO]],'[1]POS_VIVO_0112 a 3101_CAMP. REG)'!$F$333:$G$447,2,FALSE)</f>
        <v>Direito</v>
      </c>
      <c r="BY22" s="68">
        <f>VLOOKUP(UNINASSAU.[[#This Row],[CURSO]],'[1]POS_VIVO_0112 a 3101_CAMP. REG)'!$F$333:$H$447,3,FALSE)</f>
        <v>12</v>
      </c>
      <c r="BZ22" s="68">
        <f>VLOOKUP(UNINASSAU.[[#This Row],[CURSO]],'[1]POS_VIVO_0112 a 3101_CAMP. REG)'!$F$333:$I$447,4,FALSE)</f>
        <v>19</v>
      </c>
      <c r="CA22" s="73">
        <f>VLOOKUP(UNINASSAU.[[#This Row],[CURSO]],'[1]POS_VIVO_0112 a 3101_CAMP. REG)'!$F$333:$J$447,5,FALSE)</f>
        <v>262.27804200000003</v>
      </c>
      <c r="CB22" s="72">
        <f>VLOOKUP(UNINASSAU.[[#This Row],[CURSO]],'[1]POS_VIVO_0112 a 3101_CAMP. REG)'!$F$333:$L$447,7,FALSE)</f>
        <v>0.3</v>
      </c>
      <c r="CC22" s="73">
        <f>VLOOKUP(UNINASSAU.[[#This Row],[CURSO]],'[1]POS_VIVO_0112 a 3101_CAMP. REG)'!$F$333:$M$447,8,FALSE)</f>
        <v>165.24</v>
      </c>
      <c r="CD22" s="72">
        <f>VLOOKUP(UNINASSAU.[[#This Row],[CURSO]],'[1]POS_VIVO_0112 a 3101_CAMP. REG)'!$F$333:$P$447,11,FALSE)</f>
        <v>0.35</v>
      </c>
      <c r="CE22" s="73">
        <f>VLOOKUP(UNINASSAU.[[#This Row],[CURSO]],'[1]POS_VIVO_0112 a 3101_CAMP. REG)'!$F$333:$Q$447,12,FALSE)</f>
        <v>153.43</v>
      </c>
      <c r="CF22" s="75">
        <f>UNINASSAU.[[#This Row],[Nº Parcelas]]</f>
        <v>19</v>
      </c>
      <c r="CG22" s="75">
        <f>UNINASSAU.[[#This Row],[Nº Parcelas normal2]]-1</f>
        <v>18</v>
      </c>
      <c r="CH22" s="73">
        <f>UNINASSAU.[[#This Row],[$ NORMAL]]</f>
        <v>262.27804200000003</v>
      </c>
      <c r="CI22" s="72">
        <f>UNINASSAU.[[#This Row],[%  SITE]]</f>
        <v>0.3</v>
      </c>
      <c r="CJ22" s="73">
        <f>UNINASSAU.[[#This Row],[$ SITE]]</f>
        <v>165.24</v>
      </c>
      <c r="CK22" s="72">
        <f>UNINASSAU.[[#This Row],[%  SGP]]</f>
        <v>0.35</v>
      </c>
      <c r="CL22" s="73">
        <f>UNINASSAU.[[#This Row],[$ SGP]]</f>
        <v>153.43</v>
      </c>
      <c r="CM22" s="69" t="s">
        <v>351</v>
      </c>
      <c r="CN22" s="69" t="s">
        <v>372</v>
      </c>
      <c r="CP22" s="104">
        <v>19</v>
      </c>
      <c r="CQ22" s="121" t="s">
        <v>275</v>
      </c>
      <c r="CR22" s="67"/>
    </row>
    <row r="23" spans="1:109" ht="16.5" customHeight="1" x14ac:dyDescent="0.3">
      <c r="A23" s="47"/>
      <c r="B23" s="17"/>
      <c r="C23" s="17"/>
      <c r="D23" s="166" t="s">
        <v>33</v>
      </c>
      <c r="E23" s="166"/>
      <c r="F23" s="166"/>
      <c r="G23" s="166"/>
      <c r="H23" s="17"/>
      <c r="I23" s="19"/>
      <c r="J23" s="1"/>
      <c r="K23" s="1"/>
      <c r="N23" s="121" t="s">
        <v>268</v>
      </c>
      <c r="O23" s="69" t="s">
        <v>19</v>
      </c>
      <c r="P23" s="69" t="str">
        <f>VLOOKUP(UNIFAEL.[[#This Row],[CURSO]],'[1]POS_VIVO_0112 a 3101_CAMP. REG)'!$F$5:$G$113,2,FALSE)</f>
        <v>Direito</v>
      </c>
      <c r="Q23" s="68">
        <f>VLOOKUP(UNIFAEL.[[#This Row],[CURSO]],'[1]POS_VIVO_0112 a 3101_CAMP. REG)'!$F$5:$H$113,3,FALSE)</f>
        <v>12</v>
      </c>
      <c r="R23" s="68">
        <f>VLOOKUP(UNIFAEL.[[#This Row],[CURSO]],'[1]POS_VIVO_0112 a 3101_CAMP. REG)'!$F$5:$I$113,4,FALSE)</f>
        <v>19</v>
      </c>
      <c r="S23" s="73">
        <f>VLOOKUP(UNIFAEL.[[#This Row],[CURSO]],'[1]POS_VIVO_0112 a 3101_CAMP. REG)'!$F$5:$J$113,5,FALSE)</f>
        <v>262.27804200000003</v>
      </c>
      <c r="T23" s="124">
        <f>VLOOKUP(UNIFAEL.[[#This Row],[CURSO]],'[1]POS_VIVO_0112 a 3101_CAMP. REG)'!$F$5:$L$113,7,FALSE)</f>
        <v>0.5</v>
      </c>
      <c r="U23" s="73">
        <f>VLOOKUP(UNIFAEL.[[#This Row],[CURSO]],'[1]POS_VIVO_0112 a 3101_CAMP. REG)'!$F$5:$M$113,8,FALSE)</f>
        <v>118.03</v>
      </c>
      <c r="V23" s="72">
        <f>VLOOKUP(UNIFAEL.[[#This Row],[CURSO]],'[1]POS_VIVO_0112 a 3101_CAMP. REG)'!$F$5:$P$113,11,FALSE)</f>
        <v>0.55000000000000004</v>
      </c>
      <c r="W23" s="73">
        <f>VLOOKUP(UNIFAEL.[[#This Row],[CURSO]],'[1]POS_VIVO_0112 a 3101_CAMP. REG)'!$F$5:$Q$113,12,FALSE)</f>
        <v>106.22</v>
      </c>
      <c r="X23" s="75">
        <f>UNIFAEL.[[#This Row],[Nº Parcelas]]</f>
        <v>19</v>
      </c>
      <c r="Y23" s="75">
        <f>UNIFAEL.[[#This Row],[Nº Parcelas normal2]]-1</f>
        <v>18</v>
      </c>
      <c r="Z23" s="73">
        <f>UNIFAEL.[[#This Row],[$ NORMAL]]</f>
        <v>262.27804200000003</v>
      </c>
      <c r="AA23" s="72">
        <f>UNIFAEL.[[#This Row],[%  SITE]]</f>
        <v>0.5</v>
      </c>
      <c r="AB23" s="73">
        <f>UNIFAEL.[[#This Row],[$ SITE]]</f>
        <v>118.03</v>
      </c>
      <c r="AC23" s="72">
        <f>UNIFAEL.[[#This Row],[%  SGP]]</f>
        <v>0.55000000000000004</v>
      </c>
      <c r="AD23" s="73">
        <f>UNIFAEL.[[#This Row],[$ SGP]]</f>
        <v>106.22</v>
      </c>
      <c r="AE23" s="69" t="s">
        <v>371</v>
      </c>
      <c r="AF23" s="69" t="s">
        <v>372</v>
      </c>
      <c r="AH23" s="121" t="s">
        <v>268</v>
      </c>
      <c r="AI23" s="69" t="s">
        <v>19</v>
      </c>
      <c r="AJ23" s="69" t="str">
        <f>VLOOKUP(UNAMA.[[#This Row],[PARCELA MATRICULA NÃO PAGA]],'[1]POS_VIVO_0112 a 3101_CAMP. REG)'!$F$115:$G$222,2,FALSE)</f>
        <v>Direito</v>
      </c>
      <c r="AK23" s="69">
        <f>VLOOKUP(UNAMA.[[#This Row],[PARCELA MATRICULA NÃO PAGA]],'[1]POS_VIVO_0112 a 3101_CAMP. REG)'!$F$115:$H$222,3,FALSE)</f>
        <v>12</v>
      </c>
      <c r="AL23" s="69">
        <f>VLOOKUP(UNAMA.[[#This Row],[PARCELA MATRICULA NÃO PAGA]],'[1]POS_VIVO_0112 a 3101_CAMP. REG)'!$F$115:$I$222,4,FALSE)</f>
        <v>19</v>
      </c>
      <c r="AM23" s="73">
        <f>VLOOKUP(UNAMA.[[#This Row],[PARCELA MATRICULA NÃO PAGA]],'[1]POS_VIVO_0112 a 3101_CAMP. REG)'!$F$115:$J$222,5,FALSE)</f>
        <v>291.43870800000002</v>
      </c>
      <c r="AN23" s="123">
        <f>VLOOKUP(UNAMA.[[#This Row],[PARCELA MATRICULA NÃO PAGA]],'[1]POS_VIVO_0112 a 3101_CAMP. REG)'!$F$115:$L$222,7,FALSE)</f>
        <v>0.5</v>
      </c>
      <c r="AO23" s="73">
        <f>VLOOKUP(UNAMA.[[#This Row],[PARCELA MATRICULA NÃO PAGA]],'[1]POS_VIVO_0112 a 3101_CAMP. REG)'!$F$115:$M$222,8,FALSE)</f>
        <v>131.15</v>
      </c>
      <c r="AP23" s="72">
        <f>VLOOKUP(UNAMA.[[#This Row],[PARCELA MATRICULA NÃO PAGA]],'[1]POS_VIVO_0112 a 3101_CAMP. REG)'!$F$115:$P$222,11,FALSE)</f>
        <v>0.55000000000000004</v>
      </c>
      <c r="AQ23" s="73">
        <f>VLOOKUP(UNAMA.[[#This Row],[PARCELA MATRICULA NÃO PAGA]],'[1]POS_VIVO_0112 a 3101_CAMP. REG)'!$F$115:$Q$222,12,FALSE)</f>
        <v>118.03</v>
      </c>
      <c r="AR23" s="68">
        <f>UNAMA.[[#This Row],[Nº Parcelas]]</f>
        <v>19</v>
      </c>
      <c r="AS23" s="68">
        <f>UNAMA.[[#This Row],[Nº Parcelas normal2]]-1</f>
        <v>18</v>
      </c>
      <c r="AT23" s="71">
        <f>UNAMA.[[#This Row],[$ NORMAL]]</f>
        <v>291.43870800000002</v>
      </c>
      <c r="AU23" s="162">
        <f>UNAMA.[[#This Row],[%  SITE]]</f>
        <v>0.5</v>
      </c>
      <c r="AV23" s="161">
        <f>UNAMA.[[#This Row],[$ SITE]]</f>
        <v>131.15</v>
      </c>
      <c r="AW23" s="162">
        <f>UNAMA.[[#This Row],[%  SGP]]</f>
        <v>0.55000000000000004</v>
      </c>
      <c r="AX23" s="161">
        <f>UNAMA.[[#This Row],[$ SGP]]</f>
        <v>118.03</v>
      </c>
      <c r="AY23" s="69" t="s">
        <v>351</v>
      </c>
      <c r="AZ23" s="69" t="s">
        <v>372</v>
      </c>
      <c r="BB23" s="121" t="s">
        <v>268</v>
      </c>
      <c r="BC23" s="69" t="s">
        <v>19</v>
      </c>
      <c r="BD23" s="69" t="str">
        <f>VLOOKUP(UNG.[[#This Row],[CURSO]],'[1]POS_VIVO_0112 a 3101_CAMP. REG)'!$F$224:$G$331,2,FALSE)</f>
        <v>Direito</v>
      </c>
      <c r="BE23" s="68">
        <f>VLOOKUP(UNG.[[#This Row],[CURSO]],'[1]POS_VIVO_0112 a 3101_CAMP. REG)'!$F$224:$H$331,3,FALSE)</f>
        <v>12</v>
      </c>
      <c r="BF23" s="68">
        <f>VLOOKUP(UNG.[[#This Row],[CURSO]],'[1]POS_VIVO_0112 a 3101_CAMP. REG)'!$F$224:$I$331,4,FALSE)</f>
        <v>19</v>
      </c>
      <c r="BG23" s="73">
        <f>VLOOKUP(UNG.[[#This Row],[CURSO]],'[1]POS_VIVO_0112 a 3101_CAMP. REG)'!$F$224:$J$331,5,FALSE)</f>
        <v>262.27804200000003</v>
      </c>
      <c r="BH23" s="72">
        <f>VLOOKUP(UNG.[[#This Row],[CURSO]],'[1]POS_VIVO_0112 a 3101_CAMP. REG)'!$F$224:$L$331,7,FALSE)</f>
        <v>0.5</v>
      </c>
      <c r="BI23" s="73">
        <f>VLOOKUP(UNG.[[#This Row],[CURSO]],'[1]POS_VIVO_0112 a 3101_CAMP. REG)'!$F$224:$M$331,8,FALSE)</f>
        <v>118.03</v>
      </c>
      <c r="BJ23" s="72">
        <f>VLOOKUP(UNG.[[#This Row],[CURSO]],'[1]POS_VIVO_0112 a 3101_CAMP. REG)'!$F$224:$P$331,11,FALSE)</f>
        <v>0.55000000000000004</v>
      </c>
      <c r="BK23" s="73">
        <f>VLOOKUP(UNG.[[#This Row],[CURSO]],'[1]POS_VIVO_0112 a 3101_CAMP. REG)'!$F$224:$Q$331,12,FALSE)</f>
        <v>106.22</v>
      </c>
      <c r="BL23" s="75">
        <f>UNG.[[#This Row],[Nº Parcelas]]</f>
        <v>19</v>
      </c>
      <c r="BM23" s="75">
        <f>UNG.[[#This Row],[Nº Parcelas normal2]]-1</f>
        <v>18</v>
      </c>
      <c r="BN23" s="73">
        <f>UNG.[[#This Row],[$ NORMAL]]</f>
        <v>262.27804200000003</v>
      </c>
      <c r="BO23" s="72">
        <f>UNG.[[#This Row],[%  SITE]]</f>
        <v>0.5</v>
      </c>
      <c r="BP23" s="73">
        <f>UNG.[[#This Row],[$ SITE]]</f>
        <v>118.03</v>
      </c>
      <c r="BQ23" s="72">
        <f>UNG.[[#This Row],[%  SGP]]</f>
        <v>0.55000000000000004</v>
      </c>
      <c r="BR23" s="73">
        <f>UNG.[[#This Row],[$ SGP]]</f>
        <v>106.22</v>
      </c>
      <c r="BS23" s="69" t="s">
        <v>351</v>
      </c>
      <c r="BT23" s="69" t="s">
        <v>372</v>
      </c>
      <c r="BV23" s="121" t="s">
        <v>268</v>
      </c>
      <c r="BW23" s="69" t="s">
        <v>19</v>
      </c>
      <c r="BX23" s="69" t="str">
        <f>VLOOKUP(UNINASSAU.[[#This Row],[CURSO]],'[1]POS_VIVO_0112 a 3101_CAMP. REG)'!$F$333:$G$447,2,FALSE)</f>
        <v>Direito</v>
      </c>
      <c r="BY23" s="68">
        <f>VLOOKUP(UNINASSAU.[[#This Row],[CURSO]],'[1]POS_VIVO_0112 a 3101_CAMP. REG)'!$F$333:$H$447,3,FALSE)</f>
        <v>12</v>
      </c>
      <c r="BZ23" s="68">
        <f>VLOOKUP(UNINASSAU.[[#This Row],[CURSO]],'[1]POS_VIVO_0112 a 3101_CAMP. REG)'!$F$333:$I$447,4,FALSE)</f>
        <v>19</v>
      </c>
      <c r="CA23" s="73">
        <f>VLOOKUP(UNINASSAU.[[#This Row],[CURSO]],'[1]POS_VIVO_0112 a 3101_CAMP. REG)'!$F$333:$J$447,5,FALSE)</f>
        <v>262.27804200000003</v>
      </c>
      <c r="CB23" s="72">
        <f>VLOOKUP(UNINASSAU.[[#This Row],[CURSO]],'[1]POS_VIVO_0112 a 3101_CAMP. REG)'!$F$333:$L$447,7,FALSE)</f>
        <v>0.5</v>
      </c>
      <c r="CC23" s="73">
        <f>VLOOKUP(UNINASSAU.[[#This Row],[CURSO]],'[1]POS_VIVO_0112 a 3101_CAMP. REG)'!$F$333:$M$447,8,FALSE)</f>
        <v>118.03</v>
      </c>
      <c r="CD23" s="72">
        <f>VLOOKUP(UNINASSAU.[[#This Row],[CURSO]],'[1]POS_VIVO_0112 a 3101_CAMP. REG)'!$F$333:$P$447,11,FALSE)</f>
        <v>0.55000000000000004</v>
      </c>
      <c r="CE23" s="73">
        <f>VLOOKUP(UNINASSAU.[[#This Row],[CURSO]],'[1]POS_VIVO_0112 a 3101_CAMP. REG)'!$F$333:$Q$447,12,FALSE)</f>
        <v>106.22</v>
      </c>
      <c r="CF23" s="75">
        <f>UNINASSAU.[[#This Row],[Nº Parcelas]]</f>
        <v>19</v>
      </c>
      <c r="CG23" s="75">
        <f>UNINASSAU.[[#This Row],[Nº Parcelas normal2]]-1</f>
        <v>18</v>
      </c>
      <c r="CH23" s="73">
        <f>UNINASSAU.[[#This Row],[$ NORMAL]]</f>
        <v>262.27804200000003</v>
      </c>
      <c r="CI23" s="72">
        <f>UNINASSAU.[[#This Row],[%  SITE]]</f>
        <v>0.5</v>
      </c>
      <c r="CJ23" s="73">
        <f>UNINASSAU.[[#This Row],[$ SITE]]</f>
        <v>118.03</v>
      </c>
      <c r="CK23" s="72">
        <f>UNINASSAU.[[#This Row],[%  SGP]]</f>
        <v>0.55000000000000004</v>
      </c>
      <c r="CL23" s="73">
        <f>UNINASSAU.[[#This Row],[$ SGP]]</f>
        <v>106.22</v>
      </c>
      <c r="CM23" s="69" t="s">
        <v>351</v>
      </c>
      <c r="CN23" s="69" t="s">
        <v>372</v>
      </c>
      <c r="CP23" s="104">
        <v>20</v>
      </c>
      <c r="CQ23" s="121" t="s">
        <v>71</v>
      </c>
      <c r="CR23" s="67"/>
    </row>
    <row r="24" spans="1:109" s="10" customFormat="1" ht="30" customHeight="1" x14ac:dyDescent="0.25">
      <c r="A24" s="50"/>
      <c r="B24" s="31"/>
      <c r="C24" s="31"/>
      <c r="D24" s="39" t="s">
        <v>27</v>
      </c>
      <c r="E24" s="39" t="s">
        <v>28</v>
      </c>
      <c r="F24" s="39" t="s">
        <v>31</v>
      </c>
      <c r="G24" s="40" t="s">
        <v>32</v>
      </c>
      <c r="H24" s="31"/>
      <c r="I24" s="32"/>
      <c r="J24" s="13"/>
      <c r="K24" s="13"/>
      <c r="L24" s="106"/>
      <c r="M24" s="106"/>
      <c r="N24" s="121" t="s">
        <v>312</v>
      </c>
      <c r="O24" s="69" t="s">
        <v>19</v>
      </c>
      <c r="P24" s="69" t="str">
        <f>VLOOKUP(UNIFAEL.[[#This Row],[CURSO]],'[1]POS_VIVO_0112 a 3101_CAMP. REG)'!$F$5:$G$113,2,FALSE)</f>
        <v>Tecnologia/Engenharia</v>
      </c>
      <c r="Q24" s="68">
        <f>VLOOKUP(UNIFAEL.[[#This Row],[CURSO]],'[1]POS_VIVO_0112 a 3101_CAMP. REG)'!$F$5:$H$113,3,FALSE)</f>
        <v>12</v>
      </c>
      <c r="R24" s="68">
        <f>VLOOKUP(UNIFAEL.[[#This Row],[CURSO]],'[1]POS_VIVO_0112 a 3101_CAMP. REG)'!$F$5:$I$113,4,FALSE)</f>
        <v>19</v>
      </c>
      <c r="S24" s="73">
        <f>VLOOKUP(UNIFAEL.[[#This Row],[CURSO]],'[1]POS_VIVO_0112 a 3101_CAMP. REG)'!$F$5:$J$113,5,FALSE)</f>
        <v>291.43870800000002</v>
      </c>
      <c r="T24" s="124">
        <f>VLOOKUP(UNIFAEL.[[#This Row],[CURSO]],'[1]POS_VIVO_0112 a 3101_CAMP. REG)'!$F$5:$L$113,7,FALSE)</f>
        <v>0.4</v>
      </c>
      <c r="U24" s="73">
        <f>VLOOKUP(UNIFAEL.[[#This Row],[CURSO]],'[1]POS_VIVO_0112 a 3101_CAMP. REG)'!$F$5:$M$113,8,FALSE)</f>
        <v>157.38</v>
      </c>
      <c r="V24" s="72">
        <f>VLOOKUP(UNIFAEL.[[#This Row],[CURSO]],'[1]POS_VIVO_0112 a 3101_CAMP. REG)'!$F$5:$P$113,11,FALSE)</f>
        <v>0.45</v>
      </c>
      <c r="W24" s="73">
        <f>VLOOKUP(UNIFAEL.[[#This Row],[CURSO]],'[1]POS_VIVO_0112 a 3101_CAMP. REG)'!$F$5:$Q$113,12,FALSE)</f>
        <v>144.26</v>
      </c>
      <c r="X24" s="75">
        <f>UNIFAEL.[[#This Row],[Nº Parcelas]]</f>
        <v>19</v>
      </c>
      <c r="Y24" s="75">
        <f>UNIFAEL.[[#This Row],[Nº Parcelas normal2]]-1</f>
        <v>18</v>
      </c>
      <c r="Z24" s="73">
        <f>UNIFAEL.[[#This Row],[$ NORMAL]]</f>
        <v>291.43870800000002</v>
      </c>
      <c r="AA24" s="72">
        <f>UNIFAEL.[[#This Row],[%  SITE]]</f>
        <v>0.4</v>
      </c>
      <c r="AB24" s="73">
        <f>UNIFAEL.[[#This Row],[$ SITE]]</f>
        <v>157.38</v>
      </c>
      <c r="AC24" s="72">
        <f>UNIFAEL.[[#This Row],[%  SGP]]</f>
        <v>0.45</v>
      </c>
      <c r="AD24" s="73">
        <f>UNIFAEL.[[#This Row],[$ SGP]]</f>
        <v>144.26</v>
      </c>
      <c r="AE24" s="69" t="s">
        <v>371</v>
      </c>
      <c r="AF24" s="69" t="s">
        <v>372</v>
      </c>
      <c r="AG24" s="69"/>
      <c r="AH24" s="121" t="s">
        <v>312</v>
      </c>
      <c r="AI24" s="69" t="s">
        <v>19</v>
      </c>
      <c r="AJ24" s="69" t="str">
        <f>VLOOKUP(UNAMA.[[#This Row],[PARCELA MATRICULA NÃO PAGA]],'[1]POS_VIVO_0112 a 3101_CAMP. REG)'!$F$115:$G$222,2,FALSE)</f>
        <v>Tecnologia/Engenharia</v>
      </c>
      <c r="AK24" s="69">
        <f>VLOOKUP(UNAMA.[[#This Row],[PARCELA MATRICULA NÃO PAGA]],'[1]POS_VIVO_0112 a 3101_CAMP. REG)'!$F$115:$H$222,3,FALSE)</f>
        <v>12</v>
      </c>
      <c r="AL24" s="69">
        <f>VLOOKUP(UNAMA.[[#This Row],[PARCELA MATRICULA NÃO PAGA]],'[1]POS_VIVO_0112 a 3101_CAMP. REG)'!$F$115:$I$222,4,FALSE)</f>
        <v>19</v>
      </c>
      <c r="AM24" s="73">
        <f>VLOOKUP(UNAMA.[[#This Row],[PARCELA MATRICULA NÃO PAGA]],'[1]POS_VIVO_0112 a 3101_CAMP. REG)'!$F$115:$J$222,5,FALSE)</f>
        <v>320.59937400000007</v>
      </c>
      <c r="AN24" s="123">
        <f>VLOOKUP(UNAMA.[[#This Row],[PARCELA MATRICULA NÃO PAGA]],'[1]POS_VIVO_0112 a 3101_CAMP. REG)'!$F$115:$L$222,7,FALSE)</f>
        <v>0.4</v>
      </c>
      <c r="AO24" s="73">
        <f>VLOOKUP(UNAMA.[[#This Row],[PARCELA MATRICULA NÃO PAGA]],'[1]POS_VIVO_0112 a 3101_CAMP. REG)'!$F$115:$M$222,8,FALSE)</f>
        <v>173.12</v>
      </c>
      <c r="AP24" s="72">
        <f>VLOOKUP(UNAMA.[[#This Row],[PARCELA MATRICULA NÃO PAGA]],'[1]POS_VIVO_0112 a 3101_CAMP. REG)'!$F$115:$P$222,11,FALSE)</f>
        <v>0.45</v>
      </c>
      <c r="AQ24" s="73">
        <f>VLOOKUP(UNAMA.[[#This Row],[PARCELA MATRICULA NÃO PAGA]],'[1]POS_VIVO_0112 a 3101_CAMP. REG)'!$F$115:$Q$222,12,FALSE)</f>
        <v>158.69999999999999</v>
      </c>
      <c r="AR24" s="68">
        <f>UNAMA.[[#This Row],[Nº Parcelas]]</f>
        <v>19</v>
      </c>
      <c r="AS24" s="68">
        <f>UNAMA.[[#This Row],[Nº Parcelas normal2]]-1</f>
        <v>18</v>
      </c>
      <c r="AT24" s="71">
        <f>UNAMA.[[#This Row],[$ NORMAL]]</f>
        <v>320.59937400000007</v>
      </c>
      <c r="AU24" s="162">
        <f>UNAMA.[[#This Row],[%  SITE]]</f>
        <v>0.4</v>
      </c>
      <c r="AV24" s="161">
        <f>UNAMA.[[#This Row],[$ SITE]]</f>
        <v>173.12</v>
      </c>
      <c r="AW24" s="162">
        <f>UNAMA.[[#This Row],[%  SGP]]</f>
        <v>0.45</v>
      </c>
      <c r="AX24" s="161">
        <f>UNAMA.[[#This Row],[$ SGP]]</f>
        <v>158.69999999999999</v>
      </c>
      <c r="AY24" s="69" t="s">
        <v>351</v>
      </c>
      <c r="AZ24" s="69" t="s">
        <v>372</v>
      </c>
      <c r="BA24" s="74"/>
      <c r="BB24" s="121" t="s">
        <v>312</v>
      </c>
      <c r="BC24" s="69" t="s">
        <v>19</v>
      </c>
      <c r="BD24" s="69" t="str">
        <f>VLOOKUP(UNG.[[#This Row],[CURSO]],'[1]POS_VIVO_0112 a 3101_CAMP. REG)'!$F$224:$G$331,2,FALSE)</f>
        <v>Tecnologia/Engenharia</v>
      </c>
      <c r="BE24" s="68">
        <f>VLOOKUP(UNG.[[#This Row],[CURSO]],'[1]POS_VIVO_0112 a 3101_CAMP. REG)'!$F$224:$H$331,3,FALSE)</f>
        <v>12</v>
      </c>
      <c r="BF24" s="68">
        <f>VLOOKUP(UNG.[[#This Row],[CURSO]],'[1]POS_VIVO_0112 a 3101_CAMP. REG)'!$F$224:$I$331,4,FALSE)</f>
        <v>19</v>
      </c>
      <c r="BG24" s="73">
        <f>VLOOKUP(UNG.[[#This Row],[CURSO]],'[1]POS_VIVO_0112 a 3101_CAMP. REG)'!$F$224:$J$331,5,FALSE)</f>
        <v>291.43870800000002</v>
      </c>
      <c r="BH24" s="72">
        <f>VLOOKUP(UNG.[[#This Row],[CURSO]],'[1]POS_VIVO_0112 a 3101_CAMP. REG)'!$F$224:$L$331,7,FALSE)</f>
        <v>0.4</v>
      </c>
      <c r="BI24" s="73">
        <f>VLOOKUP(UNG.[[#This Row],[CURSO]],'[1]POS_VIVO_0112 a 3101_CAMP. REG)'!$F$224:$M$331,8,FALSE)</f>
        <v>157.38</v>
      </c>
      <c r="BJ24" s="72">
        <f>VLOOKUP(UNG.[[#This Row],[CURSO]],'[1]POS_VIVO_0112 a 3101_CAMP. REG)'!$F$224:$P$331,11,FALSE)</f>
        <v>0.45</v>
      </c>
      <c r="BK24" s="73">
        <f>VLOOKUP(UNG.[[#This Row],[CURSO]],'[1]POS_VIVO_0112 a 3101_CAMP. REG)'!$F$224:$Q$331,12,FALSE)</f>
        <v>144.26</v>
      </c>
      <c r="BL24" s="75">
        <f>UNG.[[#This Row],[Nº Parcelas]]</f>
        <v>19</v>
      </c>
      <c r="BM24" s="75">
        <f>UNG.[[#This Row],[Nº Parcelas normal2]]-1</f>
        <v>18</v>
      </c>
      <c r="BN24" s="73">
        <f>UNG.[[#This Row],[$ NORMAL]]</f>
        <v>291.43870800000002</v>
      </c>
      <c r="BO24" s="72">
        <f>UNG.[[#This Row],[%  SITE]]</f>
        <v>0.4</v>
      </c>
      <c r="BP24" s="73">
        <f>UNG.[[#This Row],[$ SITE]]</f>
        <v>157.38</v>
      </c>
      <c r="BQ24" s="72">
        <f>UNG.[[#This Row],[%  SGP]]</f>
        <v>0.45</v>
      </c>
      <c r="BR24" s="73">
        <f>UNG.[[#This Row],[$ SGP]]</f>
        <v>144.26</v>
      </c>
      <c r="BS24" s="69" t="s">
        <v>351</v>
      </c>
      <c r="BT24" s="69" t="s">
        <v>372</v>
      </c>
      <c r="BU24" s="74"/>
      <c r="BV24" s="121" t="s">
        <v>312</v>
      </c>
      <c r="BW24" s="69" t="s">
        <v>19</v>
      </c>
      <c r="BX24" s="69" t="str">
        <f>VLOOKUP(UNINASSAU.[[#This Row],[CURSO]],'[1]POS_VIVO_0112 a 3101_CAMP. REG)'!$F$333:$G$447,2,FALSE)</f>
        <v>Tecnologia/Engenharia</v>
      </c>
      <c r="BY24" s="68">
        <f>VLOOKUP(UNINASSAU.[[#This Row],[CURSO]],'[1]POS_VIVO_0112 a 3101_CAMP. REG)'!$F$333:$H$447,3,FALSE)</f>
        <v>12</v>
      </c>
      <c r="BZ24" s="68">
        <f>VLOOKUP(UNINASSAU.[[#This Row],[CURSO]],'[1]POS_VIVO_0112 a 3101_CAMP. REG)'!$F$333:$I$447,4,FALSE)</f>
        <v>19</v>
      </c>
      <c r="CA24" s="73">
        <f>VLOOKUP(UNINASSAU.[[#This Row],[CURSO]],'[1]POS_VIVO_0112 a 3101_CAMP. REG)'!$F$333:$J$447,5,FALSE)</f>
        <v>291.43870800000002</v>
      </c>
      <c r="CB24" s="72">
        <f>VLOOKUP(UNINASSAU.[[#This Row],[CURSO]],'[1]POS_VIVO_0112 a 3101_CAMP. REG)'!$F$333:$L$447,7,FALSE)</f>
        <v>0.4</v>
      </c>
      <c r="CC24" s="73">
        <f>VLOOKUP(UNINASSAU.[[#This Row],[CURSO]],'[1]POS_VIVO_0112 a 3101_CAMP. REG)'!$F$333:$M$447,8,FALSE)</f>
        <v>157.38</v>
      </c>
      <c r="CD24" s="72">
        <f>VLOOKUP(UNINASSAU.[[#This Row],[CURSO]],'[1]POS_VIVO_0112 a 3101_CAMP. REG)'!$F$333:$P$447,11,FALSE)</f>
        <v>0.45</v>
      </c>
      <c r="CE24" s="73">
        <f>VLOOKUP(UNINASSAU.[[#This Row],[CURSO]],'[1]POS_VIVO_0112 a 3101_CAMP. REG)'!$F$333:$Q$447,12,FALSE)</f>
        <v>144.26</v>
      </c>
      <c r="CF24" s="75">
        <f>UNINASSAU.[[#This Row],[Nº Parcelas]]</f>
        <v>19</v>
      </c>
      <c r="CG24" s="75">
        <f>UNINASSAU.[[#This Row],[Nº Parcelas normal2]]-1</f>
        <v>18</v>
      </c>
      <c r="CH24" s="73">
        <f>UNINASSAU.[[#This Row],[$ NORMAL]]</f>
        <v>291.43870800000002</v>
      </c>
      <c r="CI24" s="72">
        <f>UNINASSAU.[[#This Row],[%  SITE]]</f>
        <v>0.4</v>
      </c>
      <c r="CJ24" s="73">
        <f>UNINASSAU.[[#This Row],[$ SITE]]</f>
        <v>157.38</v>
      </c>
      <c r="CK24" s="72">
        <f>UNINASSAU.[[#This Row],[%  SGP]]</f>
        <v>0.45</v>
      </c>
      <c r="CL24" s="73">
        <f>UNINASSAU.[[#This Row],[$ SGP]]</f>
        <v>144.26</v>
      </c>
      <c r="CM24" s="69" t="s">
        <v>351</v>
      </c>
      <c r="CN24" s="69" t="s">
        <v>372</v>
      </c>
      <c r="CO24" s="73"/>
      <c r="CP24" s="104">
        <v>21</v>
      </c>
      <c r="CQ24" s="121" t="s">
        <v>278</v>
      </c>
      <c r="CR24" s="67"/>
      <c r="CS24" s="152"/>
      <c r="CT24" s="153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</row>
    <row r="25" spans="1:109" ht="16.5" customHeight="1" x14ac:dyDescent="0.25">
      <c r="A25" s="48"/>
      <c r="B25" s="28"/>
      <c r="C25" s="28"/>
      <c r="D25" s="41">
        <f ca="1">IFERROR(VLOOKUP($CS$1,INDIRECT($CW$1),7,FALSE),"")</f>
        <v>0.5</v>
      </c>
      <c r="E25" s="42">
        <f ca="1">IFERROR(VLOOKUP($CS$1,INDIRECT($CW$1),8,FALSE),"")</f>
        <v>131.15</v>
      </c>
      <c r="F25" s="43">
        <f ca="1">IFERROR(VLOOKUP($CS$1,INDIRECT($CW$1),5,FALSE),"")</f>
        <v>19</v>
      </c>
      <c r="G25" s="51" t="str">
        <f ca="1">IF(F25&gt;0,"Paga","")</f>
        <v>Paga</v>
      </c>
      <c r="H25" s="28"/>
      <c r="I25" s="29"/>
      <c r="J25" s="8"/>
      <c r="K25" s="8"/>
      <c r="L25" s="69"/>
      <c r="M25" s="69"/>
      <c r="N25" s="121" t="s">
        <v>313</v>
      </c>
      <c r="O25" s="69" t="s">
        <v>19</v>
      </c>
      <c r="P25" s="69" t="str">
        <f>VLOOKUP(UNIFAEL.[[#This Row],[CURSO]],'[1]POS_VIVO_0112 a 3101_CAMP. REG)'!$F$5:$G$113,2,FALSE)</f>
        <v>Tecnologia/Engenharia</v>
      </c>
      <c r="Q25" s="68">
        <f>VLOOKUP(UNIFAEL.[[#This Row],[CURSO]],'[1]POS_VIVO_0112 a 3101_CAMP. REG)'!$F$5:$H$113,3,FALSE)</f>
        <v>12</v>
      </c>
      <c r="R25" s="68">
        <f>VLOOKUP(UNIFAEL.[[#This Row],[CURSO]],'[1]POS_VIVO_0112 a 3101_CAMP. REG)'!$F$5:$I$113,4,FALSE)</f>
        <v>19</v>
      </c>
      <c r="S25" s="73">
        <f>VLOOKUP(UNIFAEL.[[#This Row],[CURSO]],'[1]POS_VIVO_0112 a 3101_CAMP. REG)'!$F$5:$J$113,5,FALSE)</f>
        <v>291.43870800000002</v>
      </c>
      <c r="T25" s="124">
        <f>VLOOKUP(UNIFAEL.[[#This Row],[CURSO]],'[1]POS_VIVO_0112 a 3101_CAMP. REG)'!$F$5:$L$113,7,FALSE)</f>
        <v>0.3</v>
      </c>
      <c r="U25" s="73">
        <f>VLOOKUP(UNIFAEL.[[#This Row],[CURSO]],'[1]POS_VIVO_0112 a 3101_CAMP. REG)'!$F$5:$M$113,8,FALSE)</f>
        <v>183.61</v>
      </c>
      <c r="V25" s="72">
        <f>VLOOKUP(UNIFAEL.[[#This Row],[CURSO]],'[1]POS_VIVO_0112 a 3101_CAMP. REG)'!$F$5:$P$113,11,FALSE)</f>
        <v>0.35</v>
      </c>
      <c r="W25" s="73">
        <f>VLOOKUP(UNIFAEL.[[#This Row],[CURSO]],'[1]POS_VIVO_0112 a 3101_CAMP. REG)'!$F$5:$Q$113,12,FALSE)</f>
        <v>170.49</v>
      </c>
      <c r="X25" s="75">
        <f>UNIFAEL.[[#This Row],[Nº Parcelas]]</f>
        <v>19</v>
      </c>
      <c r="Y25" s="75">
        <f>UNIFAEL.[[#This Row],[Nº Parcelas normal2]]-1</f>
        <v>18</v>
      </c>
      <c r="Z25" s="73">
        <f>UNIFAEL.[[#This Row],[$ NORMAL]]</f>
        <v>291.43870800000002</v>
      </c>
      <c r="AA25" s="72">
        <f>UNIFAEL.[[#This Row],[%  SITE]]</f>
        <v>0.3</v>
      </c>
      <c r="AB25" s="73">
        <f>UNIFAEL.[[#This Row],[$ SITE]]</f>
        <v>183.61</v>
      </c>
      <c r="AC25" s="72">
        <f>UNIFAEL.[[#This Row],[%  SGP]]</f>
        <v>0.35</v>
      </c>
      <c r="AD25" s="73">
        <f>UNIFAEL.[[#This Row],[$ SGP]]</f>
        <v>170.49</v>
      </c>
      <c r="AE25" s="69" t="s">
        <v>371</v>
      </c>
      <c r="AF25" s="69" t="s">
        <v>372</v>
      </c>
      <c r="AH25" s="121" t="s">
        <v>313</v>
      </c>
      <c r="AI25" s="69" t="s">
        <v>19</v>
      </c>
      <c r="AJ25" s="69" t="str">
        <f>VLOOKUP(UNAMA.[[#This Row],[PARCELA MATRICULA NÃO PAGA]],'[1]POS_VIVO_0112 a 3101_CAMP. REG)'!$F$115:$G$222,2,FALSE)</f>
        <v>Tecnologia/Engenharia</v>
      </c>
      <c r="AK25" s="69">
        <f>VLOOKUP(UNAMA.[[#This Row],[PARCELA MATRICULA NÃO PAGA]],'[1]POS_VIVO_0112 a 3101_CAMP. REG)'!$F$115:$H$222,3,FALSE)</f>
        <v>12</v>
      </c>
      <c r="AL25" s="69">
        <f>VLOOKUP(UNAMA.[[#This Row],[PARCELA MATRICULA NÃO PAGA]],'[1]POS_VIVO_0112 a 3101_CAMP. REG)'!$F$115:$I$222,4,FALSE)</f>
        <v>19</v>
      </c>
      <c r="AM25" s="73">
        <f>VLOOKUP(UNAMA.[[#This Row],[PARCELA MATRICULA NÃO PAGA]],'[1]POS_VIVO_0112 a 3101_CAMP. REG)'!$F$115:$J$222,5,FALSE)</f>
        <v>320.59937400000007</v>
      </c>
      <c r="AN25" s="123">
        <f>VLOOKUP(UNAMA.[[#This Row],[PARCELA MATRICULA NÃO PAGA]],'[1]POS_VIVO_0112 a 3101_CAMP. REG)'!$F$115:$L$222,7,FALSE)</f>
        <v>0.3</v>
      </c>
      <c r="AO25" s="73">
        <f>VLOOKUP(UNAMA.[[#This Row],[PARCELA MATRICULA NÃO PAGA]],'[1]POS_VIVO_0112 a 3101_CAMP. REG)'!$F$115:$M$222,8,FALSE)</f>
        <v>201.98</v>
      </c>
      <c r="AP25" s="72">
        <f>VLOOKUP(UNAMA.[[#This Row],[PARCELA MATRICULA NÃO PAGA]],'[1]POS_VIVO_0112 a 3101_CAMP. REG)'!$F$115:$P$222,11,FALSE)</f>
        <v>0.35</v>
      </c>
      <c r="AQ25" s="73">
        <f>VLOOKUP(UNAMA.[[#This Row],[PARCELA MATRICULA NÃO PAGA]],'[1]POS_VIVO_0112 a 3101_CAMP. REG)'!$F$115:$Q$222,12,FALSE)</f>
        <v>187.55</v>
      </c>
      <c r="AR25" s="68">
        <f>UNAMA.[[#This Row],[Nº Parcelas]]</f>
        <v>19</v>
      </c>
      <c r="AS25" s="68">
        <f>UNAMA.[[#This Row],[Nº Parcelas normal2]]-1</f>
        <v>18</v>
      </c>
      <c r="AT25" s="71">
        <f>UNAMA.[[#This Row],[$ NORMAL]]</f>
        <v>320.59937400000007</v>
      </c>
      <c r="AU25" s="162">
        <f>UNAMA.[[#This Row],[%  SITE]]</f>
        <v>0.3</v>
      </c>
      <c r="AV25" s="161">
        <f>UNAMA.[[#This Row],[$ SITE]]</f>
        <v>201.98</v>
      </c>
      <c r="AW25" s="162">
        <f>UNAMA.[[#This Row],[%  SGP]]</f>
        <v>0.35</v>
      </c>
      <c r="AX25" s="161">
        <f>UNAMA.[[#This Row],[$ SGP]]</f>
        <v>187.55</v>
      </c>
      <c r="AY25" s="69" t="s">
        <v>351</v>
      </c>
      <c r="AZ25" s="69" t="s">
        <v>372</v>
      </c>
      <c r="BB25" s="121" t="s">
        <v>313</v>
      </c>
      <c r="BC25" s="69" t="s">
        <v>19</v>
      </c>
      <c r="BD25" s="69" t="str">
        <f>VLOOKUP(UNG.[[#This Row],[CURSO]],'[1]POS_VIVO_0112 a 3101_CAMP. REG)'!$F$224:$G$331,2,FALSE)</f>
        <v>Tecnologia/Engenharia</v>
      </c>
      <c r="BE25" s="68">
        <f>VLOOKUP(UNG.[[#This Row],[CURSO]],'[1]POS_VIVO_0112 a 3101_CAMP. REG)'!$F$224:$H$331,3,FALSE)</f>
        <v>12</v>
      </c>
      <c r="BF25" s="68">
        <f>VLOOKUP(UNG.[[#This Row],[CURSO]],'[1]POS_VIVO_0112 a 3101_CAMP. REG)'!$F$224:$I$331,4,FALSE)</f>
        <v>19</v>
      </c>
      <c r="BG25" s="73">
        <f>VLOOKUP(UNG.[[#This Row],[CURSO]],'[1]POS_VIVO_0112 a 3101_CAMP. REG)'!$F$224:$J$331,5,FALSE)</f>
        <v>291.43870800000002</v>
      </c>
      <c r="BH25" s="72">
        <f>VLOOKUP(UNG.[[#This Row],[CURSO]],'[1]POS_VIVO_0112 a 3101_CAMP. REG)'!$F$224:$L$331,7,FALSE)</f>
        <v>0.3</v>
      </c>
      <c r="BI25" s="73">
        <f>VLOOKUP(UNG.[[#This Row],[CURSO]],'[1]POS_VIVO_0112 a 3101_CAMP. REG)'!$F$224:$M$331,8,FALSE)</f>
        <v>183.61</v>
      </c>
      <c r="BJ25" s="72">
        <f>VLOOKUP(UNG.[[#This Row],[CURSO]],'[1]POS_VIVO_0112 a 3101_CAMP. REG)'!$F$224:$P$331,11,FALSE)</f>
        <v>0.35</v>
      </c>
      <c r="BK25" s="73">
        <f>VLOOKUP(UNG.[[#This Row],[CURSO]],'[1]POS_VIVO_0112 a 3101_CAMP. REG)'!$F$224:$Q$331,12,FALSE)</f>
        <v>170.49</v>
      </c>
      <c r="BL25" s="75">
        <f>UNG.[[#This Row],[Nº Parcelas]]</f>
        <v>19</v>
      </c>
      <c r="BM25" s="75">
        <f>UNG.[[#This Row],[Nº Parcelas normal2]]-1</f>
        <v>18</v>
      </c>
      <c r="BN25" s="73">
        <f>UNG.[[#This Row],[$ NORMAL]]</f>
        <v>291.43870800000002</v>
      </c>
      <c r="BO25" s="72">
        <f>UNG.[[#This Row],[%  SITE]]</f>
        <v>0.3</v>
      </c>
      <c r="BP25" s="73">
        <f>UNG.[[#This Row],[$ SITE]]</f>
        <v>183.61</v>
      </c>
      <c r="BQ25" s="72">
        <f>UNG.[[#This Row],[%  SGP]]</f>
        <v>0.35</v>
      </c>
      <c r="BR25" s="73">
        <f>UNG.[[#This Row],[$ SGP]]</f>
        <v>170.49</v>
      </c>
      <c r="BS25" s="69" t="s">
        <v>351</v>
      </c>
      <c r="BT25" s="69" t="s">
        <v>372</v>
      </c>
      <c r="BV25" s="121" t="s">
        <v>313</v>
      </c>
      <c r="BW25" s="69" t="s">
        <v>19</v>
      </c>
      <c r="BX25" s="69" t="str">
        <f>VLOOKUP(UNINASSAU.[[#This Row],[CURSO]],'[1]POS_VIVO_0112 a 3101_CAMP. REG)'!$F$333:$G$447,2,FALSE)</f>
        <v>Tecnologia/Engenharia</v>
      </c>
      <c r="BY25" s="68">
        <f>VLOOKUP(UNINASSAU.[[#This Row],[CURSO]],'[1]POS_VIVO_0112 a 3101_CAMP. REG)'!$F$333:$H$447,3,FALSE)</f>
        <v>12</v>
      </c>
      <c r="BZ25" s="68">
        <f>VLOOKUP(UNINASSAU.[[#This Row],[CURSO]],'[1]POS_VIVO_0112 a 3101_CAMP. REG)'!$F$333:$I$447,4,FALSE)</f>
        <v>19</v>
      </c>
      <c r="CA25" s="73">
        <f>VLOOKUP(UNINASSAU.[[#This Row],[CURSO]],'[1]POS_VIVO_0112 a 3101_CAMP. REG)'!$F$333:$J$447,5,FALSE)</f>
        <v>291.43870800000002</v>
      </c>
      <c r="CB25" s="72">
        <f>VLOOKUP(UNINASSAU.[[#This Row],[CURSO]],'[1]POS_VIVO_0112 a 3101_CAMP. REG)'!$F$333:$L$447,7,FALSE)</f>
        <v>0.3</v>
      </c>
      <c r="CC25" s="73">
        <f>VLOOKUP(UNINASSAU.[[#This Row],[CURSO]],'[1]POS_VIVO_0112 a 3101_CAMP. REG)'!$F$333:$M$447,8,FALSE)</f>
        <v>183.61</v>
      </c>
      <c r="CD25" s="72">
        <f>VLOOKUP(UNINASSAU.[[#This Row],[CURSO]],'[1]POS_VIVO_0112 a 3101_CAMP. REG)'!$F$333:$P$447,11,FALSE)</f>
        <v>0.35</v>
      </c>
      <c r="CE25" s="73">
        <f>VLOOKUP(UNINASSAU.[[#This Row],[CURSO]],'[1]POS_VIVO_0112 a 3101_CAMP. REG)'!$F$333:$Q$447,12,FALSE)</f>
        <v>170.49</v>
      </c>
      <c r="CF25" s="75">
        <f>UNINASSAU.[[#This Row],[Nº Parcelas]]</f>
        <v>19</v>
      </c>
      <c r="CG25" s="75">
        <f>UNINASSAU.[[#This Row],[Nº Parcelas normal2]]-1</f>
        <v>18</v>
      </c>
      <c r="CH25" s="73">
        <f>UNINASSAU.[[#This Row],[$ NORMAL]]</f>
        <v>291.43870800000002</v>
      </c>
      <c r="CI25" s="72">
        <f>UNINASSAU.[[#This Row],[%  SITE]]</f>
        <v>0.3</v>
      </c>
      <c r="CJ25" s="73">
        <f>UNINASSAU.[[#This Row],[$ SITE]]</f>
        <v>183.61</v>
      </c>
      <c r="CK25" s="72">
        <f>UNINASSAU.[[#This Row],[%  SGP]]</f>
        <v>0.35</v>
      </c>
      <c r="CL25" s="73">
        <f>UNINASSAU.[[#This Row],[$ SGP]]</f>
        <v>170.49</v>
      </c>
      <c r="CM25" s="69" t="s">
        <v>351</v>
      </c>
      <c r="CN25" s="69" t="s">
        <v>372</v>
      </c>
      <c r="CP25" s="104">
        <v>22</v>
      </c>
      <c r="CQ25" s="121" t="s">
        <v>280</v>
      </c>
      <c r="CR25" s="67"/>
    </row>
    <row r="26" spans="1:109" ht="16.5" customHeight="1" x14ac:dyDescent="0.25">
      <c r="A26" s="48"/>
      <c r="B26" s="28"/>
      <c r="C26" s="28"/>
      <c r="D26" s="41">
        <f ca="1">IFERROR(VLOOKUP($CS$1,INDIRECT($CW$1),14,FALSE),"")</f>
        <v>0.5</v>
      </c>
      <c r="E26" s="42">
        <f ca="1">IFERROR(VLOOKUP($CS$1,INDIRECT($CW$1),15,FALSE),"")</f>
        <v>131.15</v>
      </c>
      <c r="F26" s="43">
        <f ca="1">IFERROR(VLOOKUP($CS$1,INDIRECT($CW$1),12,FALSE),"")</f>
        <v>18</v>
      </c>
      <c r="G26" s="51" t="str">
        <f ca="1">IFERROR(VLOOKUP($CS$1,INDIRECT($CW$1),19,FALSE),"")</f>
        <v>Não Paga</v>
      </c>
      <c r="H26" s="28"/>
      <c r="I26" s="29"/>
      <c r="J26" s="8"/>
      <c r="K26" s="8"/>
      <c r="L26" s="69"/>
      <c r="M26" s="69"/>
      <c r="N26" s="121" t="s">
        <v>332</v>
      </c>
      <c r="O26" s="69" t="s">
        <v>19</v>
      </c>
      <c r="P26" s="69" t="str">
        <f>VLOOKUP(UNIFAEL.[[#This Row],[CURSO]],'[1]POS_VIVO_0112 a 3101_CAMP. REG)'!$F$5:$G$113,2,FALSE)</f>
        <v>Gestão</v>
      </c>
      <c r="Q26" s="68">
        <f>VLOOKUP(UNIFAEL.[[#This Row],[CURSO]],'[1]POS_VIVO_0112 a 3101_CAMP. REG)'!$F$5:$H$113,3,FALSE)</f>
        <v>14</v>
      </c>
      <c r="R26" s="68">
        <f>VLOOKUP(UNIFAEL.[[#This Row],[CURSO]],'[1]POS_VIVO_0112 a 3101_CAMP. REG)'!$F$5:$I$113,4,FALSE)</f>
        <v>19</v>
      </c>
      <c r="S26" s="73">
        <f>VLOOKUP(UNIFAEL.[[#This Row],[CURSO]],'[1]POS_VIVO_0112 a 3101_CAMP. REG)'!$F$5:$J$113,5,FALSE)</f>
        <v>524.85</v>
      </c>
      <c r="T26" s="124">
        <f>VLOOKUP(UNIFAEL.[[#This Row],[CURSO]],'[1]POS_VIVO_0112 a 3101_CAMP. REG)'!$F$5:$L$113,7,FALSE)</f>
        <v>0.4</v>
      </c>
      <c r="U26" s="73">
        <f>VLOOKUP(UNIFAEL.[[#This Row],[CURSO]],'[1]POS_VIVO_0112 a 3101_CAMP. REG)'!$F$5:$M$113,8,FALSE)</f>
        <v>283.42</v>
      </c>
      <c r="V26" s="72">
        <f>VLOOKUP(UNIFAEL.[[#This Row],[CURSO]],'[1]POS_VIVO_0112 a 3101_CAMP. REG)'!$F$5:$P$113,11,FALSE)</f>
        <v>0.45</v>
      </c>
      <c r="W26" s="73">
        <f>VLOOKUP(UNIFAEL.[[#This Row],[CURSO]],'[1]POS_VIVO_0112 a 3101_CAMP. REG)'!$F$5:$Q$113,12,FALSE)</f>
        <v>259.8</v>
      </c>
      <c r="X26" s="75">
        <f>UNIFAEL.[[#This Row],[Nº Parcelas]]</f>
        <v>19</v>
      </c>
      <c r="Y26" s="75">
        <f>UNIFAEL.[[#This Row],[Nº Parcelas normal2]]-1</f>
        <v>18</v>
      </c>
      <c r="Z26" s="73">
        <f>UNIFAEL.[[#This Row],[$ NORMAL]]</f>
        <v>524.85</v>
      </c>
      <c r="AA26" s="72">
        <f>UNIFAEL.[[#This Row],[%  SITE]]</f>
        <v>0.4</v>
      </c>
      <c r="AB26" s="73">
        <f>UNIFAEL.[[#This Row],[$ SITE]]</f>
        <v>283.42</v>
      </c>
      <c r="AC26" s="72">
        <f>UNIFAEL.[[#This Row],[%  SGP]]</f>
        <v>0.45</v>
      </c>
      <c r="AD26" s="73">
        <f>UNIFAEL.[[#This Row],[$ SGP]]</f>
        <v>259.8</v>
      </c>
      <c r="AE26" s="69" t="s">
        <v>371</v>
      </c>
      <c r="AF26" s="69" t="s">
        <v>372</v>
      </c>
      <c r="AH26" s="121" t="s">
        <v>332</v>
      </c>
      <c r="AI26" s="69" t="s">
        <v>19</v>
      </c>
      <c r="AJ26" s="69" t="str">
        <f>VLOOKUP(UNAMA.[[#This Row],[PARCELA MATRICULA NÃO PAGA]],'[1]POS_VIVO_0112 a 3101_CAMP. REG)'!$F$115:$G$222,2,FALSE)</f>
        <v>Gestão</v>
      </c>
      <c r="AK26" s="69">
        <f>VLOOKUP(UNAMA.[[#This Row],[PARCELA MATRICULA NÃO PAGA]],'[1]POS_VIVO_0112 a 3101_CAMP. REG)'!$F$115:$H$222,3,FALSE)</f>
        <v>14</v>
      </c>
      <c r="AL26" s="69">
        <f>VLOOKUP(UNAMA.[[#This Row],[PARCELA MATRICULA NÃO PAGA]],'[1]POS_VIVO_0112 a 3101_CAMP. REG)'!$F$115:$I$222,4,FALSE)</f>
        <v>19</v>
      </c>
      <c r="AM26" s="73">
        <f>VLOOKUP(UNAMA.[[#This Row],[PARCELA MATRICULA NÃO PAGA]],'[1]POS_VIVO_0112 a 3101_CAMP. REG)'!$F$115:$J$222,5,FALSE)</f>
        <v>583.02437399999997</v>
      </c>
      <c r="AN26" s="123">
        <f>VLOOKUP(UNAMA.[[#This Row],[PARCELA MATRICULA NÃO PAGA]],'[1]POS_VIVO_0112 a 3101_CAMP. REG)'!$F$115:$L$222,7,FALSE)</f>
        <v>0.4</v>
      </c>
      <c r="AO26" s="73">
        <f>VLOOKUP(UNAMA.[[#This Row],[PARCELA MATRICULA NÃO PAGA]],'[1]POS_VIVO_0112 a 3101_CAMP. REG)'!$F$115:$M$222,8,FALSE)</f>
        <v>314.83</v>
      </c>
      <c r="AP26" s="72">
        <f>VLOOKUP(UNAMA.[[#This Row],[PARCELA MATRICULA NÃO PAGA]],'[1]POS_VIVO_0112 a 3101_CAMP. REG)'!$F$115:$P$222,11,FALSE)</f>
        <v>0.45</v>
      </c>
      <c r="AQ26" s="73">
        <f>VLOOKUP(UNAMA.[[#This Row],[PARCELA MATRICULA NÃO PAGA]],'[1]POS_VIVO_0112 a 3101_CAMP. REG)'!$F$115:$Q$222,12,FALSE)</f>
        <v>288.60000000000002</v>
      </c>
      <c r="AR26" s="68">
        <f>UNAMA.[[#This Row],[Nº Parcelas]]</f>
        <v>19</v>
      </c>
      <c r="AS26" s="68">
        <f>UNAMA.[[#This Row],[Nº Parcelas normal2]]-1</f>
        <v>18</v>
      </c>
      <c r="AT26" s="71">
        <f>UNAMA.[[#This Row],[$ NORMAL]]</f>
        <v>583.02437399999997</v>
      </c>
      <c r="AU26" s="162">
        <f>UNAMA.[[#This Row],[%  SITE]]</f>
        <v>0.4</v>
      </c>
      <c r="AV26" s="161">
        <f>UNAMA.[[#This Row],[$ SITE]]</f>
        <v>314.83</v>
      </c>
      <c r="AW26" s="162">
        <f>UNAMA.[[#This Row],[%  SGP]]</f>
        <v>0.45</v>
      </c>
      <c r="AX26" s="161">
        <f>UNAMA.[[#This Row],[$ SGP]]</f>
        <v>288.60000000000002</v>
      </c>
      <c r="AY26" s="69" t="s">
        <v>351</v>
      </c>
      <c r="AZ26" s="69" t="s">
        <v>372</v>
      </c>
      <c r="BB26" s="121" t="s">
        <v>332</v>
      </c>
      <c r="BC26" s="69" t="s">
        <v>19</v>
      </c>
      <c r="BD26" s="69" t="str">
        <f>VLOOKUP(UNG.[[#This Row],[CURSO]],'[1]POS_VIVO_0112 a 3101_CAMP. REG)'!$F$224:$G$331,2,FALSE)</f>
        <v>Gestão</v>
      </c>
      <c r="BE26" s="68">
        <f>VLOOKUP(UNG.[[#This Row],[CURSO]],'[1]POS_VIVO_0112 a 3101_CAMP. REG)'!$F$224:$H$331,3,FALSE)</f>
        <v>14</v>
      </c>
      <c r="BF26" s="68">
        <f>VLOOKUP(UNG.[[#This Row],[CURSO]],'[1]POS_VIVO_0112 a 3101_CAMP. REG)'!$F$224:$I$331,4,FALSE)</f>
        <v>19</v>
      </c>
      <c r="BG26" s="73">
        <f>VLOOKUP(UNG.[[#This Row],[CURSO]],'[1]POS_VIVO_0112 a 3101_CAMP. REG)'!$F$224:$J$331,5,FALSE)</f>
        <v>524.85</v>
      </c>
      <c r="BH26" s="72">
        <f>VLOOKUP(UNG.[[#This Row],[CURSO]],'[1]POS_VIVO_0112 a 3101_CAMP. REG)'!$F$224:$L$331,7,FALSE)</f>
        <v>0.4</v>
      </c>
      <c r="BI26" s="73">
        <f>VLOOKUP(UNG.[[#This Row],[CURSO]],'[1]POS_VIVO_0112 a 3101_CAMP. REG)'!$F$224:$M$331,8,FALSE)</f>
        <v>283.42</v>
      </c>
      <c r="BJ26" s="72">
        <f>VLOOKUP(UNG.[[#This Row],[CURSO]],'[1]POS_VIVO_0112 a 3101_CAMP. REG)'!$F$224:$P$331,11,FALSE)</f>
        <v>0.45</v>
      </c>
      <c r="BK26" s="73">
        <f>VLOOKUP(UNG.[[#This Row],[CURSO]],'[1]POS_VIVO_0112 a 3101_CAMP. REG)'!$F$224:$Q$331,12,FALSE)</f>
        <v>259.8</v>
      </c>
      <c r="BL26" s="75">
        <f>UNG.[[#This Row],[Nº Parcelas]]</f>
        <v>19</v>
      </c>
      <c r="BM26" s="75">
        <f>UNG.[[#This Row],[Nº Parcelas normal2]]-1</f>
        <v>18</v>
      </c>
      <c r="BN26" s="73">
        <f>UNG.[[#This Row],[$ NORMAL]]</f>
        <v>524.85</v>
      </c>
      <c r="BO26" s="72">
        <f>UNG.[[#This Row],[%  SITE]]</f>
        <v>0.4</v>
      </c>
      <c r="BP26" s="73">
        <f>UNG.[[#This Row],[$ SITE]]</f>
        <v>283.42</v>
      </c>
      <c r="BQ26" s="72">
        <f>UNG.[[#This Row],[%  SGP]]</f>
        <v>0.45</v>
      </c>
      <c r="BR26" s="73">
        <f>UNG.[[#This Row],[$ SGP]]</f>
        <v>259.8</v>
      </c>
      <c r="BS26" s="69" t="s">
        <v>351</v>
      </c>
      <c r="BT26" s="69" t="s">
        <v>372</v>
      </c>
      <c r="BV26" s="121" t="s">
        <v>332</v>
      </c>
      <c r="BW26" s="69" t="s">
        <v>19</v>
      </c>
      <c r="BX26" s="69" t="str">
        <f>VLOOKUP(UNINASSAU.[[#This Row],[CURSO]],'[1]POS_VIVO_0112 a 3101_CAMP. REG)'!$F$333:$G$447,2,FALSE)</f>
        <v>Gestão</v>
      </c>
      <c r="BY26" s="68">
        <f>VLOOKUP(UNINASSAU.[[#This Row],[CURSO]],'[1]POS_VIVO_0112 a 3101_CAMP. REG)'!$F$333:$H$447,3,FALSE)</f>
        <v>14</v>
      </c>
      <c r="BZ26" s="68">
        <f>VLOOKUP(UNINASSAU.[[#This Row],[CURSO]],'[1]POS_VIVO_0112 a 3101_CAMP. REG)'!$F$333:$I$447,4,FALSE)</f>
        <v>19</v>
      </c>
      <c r="CA26" s="73">
        <f>VLOOKUP(UNINASSAU.[[#This Row],[CURSO]],'[1]POS_VIVO_0112 a 3101_CAMP. REG)'!$F$333:$J$447,5,FALSE)</f>
        <v>524.85</v>
      </c>
      <c r="CB26" s="72">
        <f>VLOOKUP(UNINASSAU.[[#This Row],[CURSO]],'[1]POS_VIVO_0112 a 3101_CAMP. REG)'!$F$333:$L$447,7,FALSE)</f>
        <v>0.4</v>
      </c>
      <c r="CC26" s="73">
        <f>VLOOKUP(UNINASSAU.[[#This Row],[CURSO]],'[1]POS_VIVO_0112 a 3101_CAMP. REG)'!$F$333:$M$447,8,FALSE)</f>
        <v>283.42</v>
      </c>
      <c r="CD26" s="72">
        <f>VLOOKUP(UNINASSAU.[[#This Row],[CURSO]],'[1]POS_VIVO_0112 a 3101_CAMP. REG)'!$F$333:$P$447,11,FALSE)</f>
        <v>0.45</v>
      </c>
      <c r="CE26" s="73">
        <f>VLOOKUP(UNINASSAU.[[#This Row],[CURSO]],'[1]POS_VIVO_0112 a 3101_CAMP. REG)'!$F$333:$Q$447,12,FALSE)</f>
        <v>259.8</v>
      </c>
      <c r="CF26" s="75">
        <f>UNINASSAU.[[#This Row],[Nº Parcelas]]</f>
        <v>19</v>
      </c>
      <c r="CG26" s="75">
        <f>UNINASSAU.[[#This Row],[Nº Parcelas normal2]]-1</f>
        <v>18</v>
      </c>
      <c r="CH26" s="73">
        <f>UNINASSAU.[[#This Row],[$ NORMAL]]</f>
        <v>524.85</v>
      </c>
      <c r="CI26" s="72">
        <f>UNINASSAU.[[#This Row],[%  SITE]]</f>
        <v>0.4</v>
      </c>
      <c r="CJ26" s="73">
        <f>UNINASSAU.[[#This Row],[$ SITE]]</f>
        <v>283.42</v>
      </c>
      <c r="CK26" s="72">
        <f>UNINASSAU.[[#This Row],[%  SGP]]</f>
        <v>0.45</v>
      </c>
      <c r="CL26" s="73">
        <f>UNINASSAU.[[#This Row],[$ SGP]]</f>
        <v>259.8</v>
      </c>
      <c r="CM26" s="69" t="s">
        <v>351</v>
      </c>
      <c r="CN26" s="69" t="s">
        <v>372</v>
      </c>
      <c r="CP26" s="104">
        <v>23</v>
      </c>
      <c r="CQ26" s="121" t="s">
        <v>282</v>
      </c>
      <c r="CR26" s="67"/>
    </row>
    <row r="27" spans="1:109" ht="16.5" customHeight="1" x14ac:dyDescent="0.25">
      <c r="A27" s="48"/>
      <c r="B27" s="28"/>
      <c r="C27" s="28"/>
      <c r="D27" s="41">
        <f ca="1">IFERROR(VLOOKUP($CS$1,INDIRECT($CW$1),16,FALSE),"")</f>
        <v>0.55000000000000004</v>
      </c>
      <c r="E27" s="42">
        <f ca="1">IFERROR(VLOOKUP($CS$1,INDIRECT($CW$1),17,FALSE),"")</f>
        <v>118.03</v>
      </c>
      <c r="F27" s="43">
        <f ca="1">IFERROR(VLOOKUP($CS$1,INDIRECT($CW$1),11,FALSE),"")</f>
        <v>19</v>
      </c>
      <c r="G27" s="51" t="str">
        <f ca="1">IFERROR(VLOOKUP($CS$1,INDIRECT($CW$1),18,FALSE),"")</f>
        <v xml:space="preserve">Paga </v>
      </c>
      <c r="H27" s="28"/>
      <c r="I27" s="29"/>
      <c r="J27" s="8"/>
      <c r="K27" s="8"/>
      <c r="L27" s="69"/>
      <c r="M27" s="69"/>
      <c r="N27" s="121" t="s">
        <v>334</v>
      </c>
      <c r="O27" s="69" t="s">
        <v>19</v>
      </c>
      <c r="P27" s="69" t="str">
        <f>VLOOKUP(UNIFAEL.[[#This Row],[CURSO]],'[1]POS_VIVO_0112 a 3101_CAMP. REG)'!$F$5:$G$113,2,FALSE)</f>
        <v>Saúde</v>
      </c>
      <c r="Q27" s="68">
        <f>VLOOKUP(UNIFAEL.[[#This Row],[CURSO]],'[1]POS_VIVO_0112 a 3101_CAMP. REG)'!$F$5:$H$113,3,FALSE)</f>
        <v>12</v>
      </c>
      <c r="R27" s="68">
        <f>VLOOKUP(UNIFAEL.[[#This Row],[CURSO]],'[1]POS_VIVO_0112 a 3101_CAMP. REG)'!$F$5:$I$113,4,FALSE)</f>
        <v>19</v>
      </c>
      <c r="S27" s="73">
        <f>VLOOKUP(UNIFAEL.[[#This Row],[CURSO]],'[1]POS_VIVO_0112 a 3101_CAMP. REG)'!$F$5:$J$113,5,FALSE)</f>
        <v>364.32987600000001</v>
      </c>
      <c r="T27" s="124">
        <f>VLOOKUP(UNIFAEL.[[#This Row],[CURSO]],'[1]POS_VIVO_0112 a 3101_CAMP. REG)'!$F$5:$L$113,7,FALSE)</f>
        <v>0.4</v>
      </c>
      <c r="U27" s="73">
        <f>VLOOKUP(UNIFAEL.[[#This Row],[CURSO]],'[1]POS_VIVO_0112 a 3101_CAMP. REG)'!$F$5:$M$113,8,FALSE)</f>
        <v>196.74</v>
      </c>
      <c r="V27" s="72">
        <f>VLOOKUP(UNIFAEL.[[#This Row],[CURSO]],'[1]POS_VIVO_0112 a 3101_CAMP. REG)'!$F$5:$P$113,11,FALSE)</f>
        <v>0.45</v>
      </c>
      <c r="W27" s="73">
        <f>VLOOKUP(UNIFAEL.[[#This Row],[CURSO]],'[1]POS_VIVO_0112 a 3101_CAMP. REG)'!$F$5:$Q$113,12,FALSE)</f>
        <v>180.34</v>
      </c>
      <c r="X27" s="75">
        <f>UNIFAEL.[[#This Row],[Nº Parcelas]]</f>
        <v>19</v>
      </c>
      <c r="Y27" s="75">
        <f>UNIFAEL.[[#This Row],[Nº Parcelas normal2]]-1</f>
        <v>18</v>
      </c>
      <c r="Z27" s="73">
        <f>UNIFAEL.[[#This Row],[$ NORMAL]]</f>
        <v>364.32987600000001</v>
      </c>
      <c r="AA27" s="72">
        <f>UNIFAEL.[[#This Row],[%  SITE]]</f>
        <v>0.4</v>
      </c>
      <c r="AB27" s="73">
        <f>UNIFAEL.[[#This Row],[$ SITE]]</f>
        <v>196.74</v>
      </c>
      <c r="AC27" s="72">
        <f>UNIFAEL.[[#This Row],[%  SGP]]</f>
        <v>0.45</v>
      </c>
      <c r="AD27" s="73">
        <f>UNIFAEL.[[#This Row],[$ SGP]]</f>
        <v>180.34</v>
      </c>
      <c r="AE27" s="69" t="s">
        <v>371</v>
      </c>
      <c r="AF27" s="69" t="s">
        <v>372</v>
      </c>
      <c r="AH27" s="121" t="s">
        <v>334</v>
      </c>
      <c r="AI27" s="69" t="s">
        <v>19</v>
      </c>
      <c r="AJ27" s="69" t="str">
        <f>VLOOKUP(UNAMA.[[#This Row],[PARCELA MATRICULA NÃO PAGA]],'[1]POS_VIVO_0112 a 3101_CAMP. REG)'!$F$115:$G$222,2,FALSE)</f>
        <v>Saúde</v>
      </c>
      <c r="AK27" s="69">
        <f>VLOOKUP(UNAMA.[[#This Row],[PARCELA MATRICULA NÃO PAGA]],'[1]POS_VIVO_0112 a 3101_CAMP. REG)'!$F$115:$H$222,3,FALSE)</f>
        <v>12</v>
      </c>
      <c r="AL27" s="69">
        <f>VLOOKUP(UNAMA.[[#This Row],[PARCELA MATRICULA NÃO PAGA]],'[1]POS_VIVO_0112 a 3101_CAMP. REG)'!$F$115:$I$222,4,FALSE)</f>
        <v>19</v>
      </c>
      <c r="AM27" s="73">
        <f>VLOOKUP(UNAMA.[[#This Row],[PARCELA MATRICULA NÃO PAGA]],'[1]POS_VIVO_0112 a 3101_CAMP. REG)'!$F$115:$J$222,5,FALSE)</f>
        <v>419.73304200000007</v>
      </c>
      <c r="AN27" s="123">
        <f>VLOOKUP(UNAMA.[[#This Row],[PARCELA MATRICULA NÃO PAGA]],'[1]POS_VIVO_0112 a 3101_CAMP. REG)'!$F$115:$L$222,7,FALSE)</f>
        <v>0.4</v>
      </c>
      <c r="AO27" s="73">
        <f>VLOOKUP(UNAMA.[[#This Row],[PARCELA MATRICULA NÃO PAGA]],'[1]POS_VIVO_0112 a 3101_CAMP. REG)'!$F$115:$M$222,8,FALSE)</f>
        <v>226.66</v>
      </c>
      <c r="AP27" s="72">
        <f>VLOOKUP(UNAMA.[[#This Row],[PARCELA MATRICULA NÃO PAGA]],'[1]POS_VIVO_0112 a 3101_CAMP. REG)'!$F$115:$P$222,11,FALSE)</f>
        <v>0.45</v>
      </c>
      <c r="AQ27" s="73">
        <f>VLOOKUP(UNAMA.[[#This Row],[PARCELA MATRICULA NÃO PAGA]],'[1]POS_VIVO_0112 a 3101_CAMP. REG)'!$F$115:$Q$222,12,FALSE)</f>
        <v>207.77</v>
      </c>
      <c r="AR27" s="68">
        <f>UNAMA.[[#This Row],[Nº Parcelas]]</f>
        <v>19</v>
      </c>
      <c r="AS27" s="68">
        <f>UNAMA.[[#This Row],[Nº Parcelas normal2]]-1</f>
        <v>18</v>
      </c>
      <c r="AT27" s="71">
        <f>UNAMA.[[#This Row],[$ NORMAL]]</f>
        <v>419.73304200000007</v>
      </c>
      <c r="AU27" s="162">
        <f>UNAMA.[[#This Row],[%  SITE]]</f>
        <v>0.4</v>
      </c>
      <c r="AV27" s="161">
        <f>UNAMA.[[#This Row],[$ SITE]]</f>
        <v>226.66</v>
      </c>
      <c r="AW27" s="162">
        <f>UNAMA.[[#This Row],[%  SGP]]</f>
        <v>0.45</v>
      </c>
      <c r="AX27" s="161">
        <f>UNAMA.[[#This Row],[$ SGP]]</f>
        <v>207.77</v>
      </c>
      <c r="AY27" s="69" t="s">
        <v>351</v>
      </c>
      <c r="AZ27" s="69" t="s">
        <v>372</v>
      </c>
      <c r="BB27" s="121" t="s">
        <v>334</v>
      </c>
      <c r="BC27" s="69" t="s">
        <v>19</v>
      </c>
      <c r="BD27" s="69" t="str">
        <f>VLOOKUP(UNG.[[#This Row],[CURSO]],'[1]POS_VIVO_0112 a 3101_CAMP. REG)'!$F$224:$G$331,2,FALSE)</f>
        <v>Saúde</v>
      </c>
      <c r="BE27" s="68">
        <f>VLOOKUP(UNG.[[#This Row],[CURSO]],'[1]POS_VIVO_0112 a 3101_CAMP. REG)'!$F$224:$H$331,3,FALSE)</f>
        <v>12</v>
      </c>
      <c r="BF27" s="68">
        <f>VLOOKUP(UNG.[[#This Row],[CURSO]],'[1]POS_VIVO_0112 a 3101_CAMP. REG)'!$F$224:$I$331,4,FALSE)</f>
        <v>19</v>
      </c>
      <c r="BG27" s="73">
        <f>VLOOKUP(UNG.[[#This Row],[CURSO]],'[1]POS_VIVO_0112 a 3101_CAMP. REG)'!$F$224:$J$331,5,FALSE)</f>
        <v>364.32987600000001</v>
      </c>
      <c r="BH27" s="72">
        <f>VLOOKUP(UNG.[[#This Row],[CURSO]],'[1]POS_VIVO_0112 a 3101_CAMP. REG)'!$F$224:$L$331,7,FALSE)</f>
        <v>0.4</v>
      </c>
      <c r="BI27" s="73">
        <f>VLOOKUP(UNG.[[#This Row],[CURSO]],'[1]POS_VIVO_0112 a 3101_CAMP. REG)'!$F$224:$M$331,8,FALSE)</f>
        <v>196.74</v>
      </c>
      <c r="BJ27" s="72">
        <f>VLOOKUP(UNG.[[#This Row],[CURSO]],'[1]POS_VIVO_0112 a 3101_CAMP. REG)'!$F$224:$P$331,11,FALSE)</f>
        <v>0.45</v>
      </c>
      <c r="BK27" s="73">
        <f>VLOOKUP(UNG.[[#This Row],[CURSO]],'[1]POS_VIVO_0112 a 3101_CAMP. REG)'!$F$224:$Q$331,12,FALSE)</f>
        <v>180.34</v>
      </c>
      <c r="BL27" s="75">
        <f>UNG.[[#This Row],[Nº Parcelas]]</f>
        <v>19</v>
      </c>
      <c r="BM27" s="75">
        <f>UNG.[[#This Row],[Nº Parcelas normal2]]-1</f>
        <v>18</v>
      </c>
      <c r="BN27" s="73">
        <f>UNG.[[#This Row],[$ NORMAL]]</f>
        <v>364.32987600000001</v>
      </c>
      <c r="BO27" s="72">
        <f>UNG.[[#This Row],[%  SITE]]</f>
        <v>0.4</v>
      </c>
      <c r="BP27" s="73">
        <f>UNG.[[#This Row],[$ SITE]]</f>
        <v>196.74</v>
      </c>
      <c r="BQ27" s="72">
        <f>UNG.[[#This Row],[%  SGP]]</f>
        <v>0.45</v>
      </c>
      <c r="BR27" s="73">
        <f>UNG.[[#This Row],[$ SGP]]</f>
        <v>180.34</v>
      </c>
      <c r="BS27" s="69" t="s">
        <v>351</v>
      </c>
      <c r="BT27" s="69" t="s">
        <v>372</v>
      </c>
      <c r="BV27" s="121" t="s">
        <v>334</v>
      </c>
      <c r="BW27" s="69" t="s">
        <v>19</v>
      </c>
      <c r="BX27" s="69" t="str">
        <f>VLOOKUP(UNINASSAU.[[#This Row],[CURSO]],'[1]POS_VIVO_0112 a 3101_CAMP. REG)'!$F$333:$G$447,2,FALSE)</f>
        <v>Saúde</v>
      </c>
      <c r="BY27" s="68">
        <f>VLOOKUP(UNINASSAU.[[#This Row],[CURSO]],'[1]POS_VIVO_0112 a 3101_CAMP. REG)'!$F$333:$H$447,3,FALSE)</f>
        <v>12</v>
      </c>
      <c r="BZ27" s="68">
        <f>VLOOKUP(UNINASSAU.[[#This Row],[CURSO]],'[1]POS_VIVO_0112 a 3101_CAMP. REG)'!$F$333:$I$447,4,FALSE)</f>
        <v>19</v>
      </c>
      <c r="CA27" s="73">
        <f>VLOOKUP(UNINASSAU.[[#This Row],[CURSO]],'[1]POS_VIVO_0112 a 3101_CAMP. REG)'!$F$333:$J$447,5,FALSE)</f>
        <v>364.32987600000001</v>
      </c>
      <c r="CB27" s="72">
        <f>VLOOKUP(UNINASSAU.[[#This Row],[CURSO]],'[1]POS_VIVO_0112 a 3101_CAMP. REG)'!$F$333:$L$447,7,FALSE)</f>
        <v>0.4</v>
      </c>
      <c r="CC27" s="73">
        <f>VLOOKUP(UNINASSAU.[[#This Row],[CURSO]],'[1]POS_VIVO_0112 a 3101_CAMP. REG)'!$F$333:$M$447,8,FALSE)</f>
        <v>196.74</v>
      </c>
      <c r="CD27" s="72">
        <f>VLOOKUP(UNINASSAU.[[#This Row],[CURSO]],'[1]POS_VIVO_0112 a 3101_CAMP. REG)'!$F$333:$P$447,11,FALSE)</f>
        <v>0.45</v>
      </c>
      <c r="CE27" s="73">
        <f>VLOOKUP(UNINASSAU.[[#This Row],[CURSO]],'[1]POS_VIVO_0112 a 3101_CAMP. REG)'!$F$333:$Q$447,12,FALSE)</f>
        <v>180.34</v>
      </c>
      <c r="CF27" s="75">
        <f>UNINASSAU.[[#This Row],[Nº Parcelas]]</f>
        <v>19</v>
      </c>
      <c r="CG27" s="75">
        <f>UNINASSAU.[[#This Row],[Nº Parcelas normal2]]-1</f>
        <v>18</v>
      </c>
      <c r="CH27" s="73">
        <f>UNINASSAU.[[#This Row],[$ NORMAL]]</f>
        <v>364.32987600000001</v>
      </c>
      <c r="CI27" s="72">
        <f>UNINASSAU.[[#This Row],[%  SITE]]</f>
        <v>0.4</v>
      </c>
      <c r="CJ27" s="73">
        <f>UNINASSAU.[[#This Row],[$ SITE]]</f>
        <v>196.74</v>
      </c>
      <c r="CK27" s="72">
        <f>UNINASSAU.[[#This Row],[%  SGP]]</f>
        <v>0.45</v>
      </c>
      <c r="CL27" s="73">
        <f>UNINASSAU.[[#This Row],[$ SGP]]</f>
        <v>180.34</v>
      </c>
      <c r="CM27" s="69" t="s">
        <v>351</v>
      </c>
      <c r="CN27" s="69" t="s">
        <v>372</v>
      </c>
      <c r="CP27" s="104">
        <v>24</v>
      </c>
      <c r="CQ27" s="121" t="s">
        <v>283</v>
      </c>
      <c r="CR27" s="67"/>
    </row>
    <row r="28" spans="1:109" ht="16.5" customHeight="1" x14ac:dyDescent="0.25">
      <c r="A28" s="47"/>
      <c r="B28" s="28"/>
      <c r="C28" s="28"/>
      <c r="D28" s="41">
        <f ca="1">IFERROR(VLOOKUP($CS$1,INDIRECT($CW$1),16,FALSE),"")</f>
        <v>0.55000000000000004</v>
      </c>
      <c r="E28" s="42">
        <f ca="1">IFERROR(VLOOKUP($CS$1,INDIRECT($CW$1),17,FALSE),"")</f>
        <v>118.03</v>
      </c>
      <c r="F28" s="43">
        <f ca="1">IFERROR(VLOOKUP($CS$1,INDIRECT($CW$1),12,FALSE),"")</f>
        <v>18</v>
      </c>
      <c r="G28" s="51" t="str">
        <f ca="1">IFERROR(VLOOKUP($CS$1,INDIRECT($CW$1),19,FALSE),"")</f>
        <v>Não Paga</v>
      </c>
      <c r="H28" s="28"/>
      <c r="I28" s="29"/>
      <c r="J28" s="1"/>
      <c r="K28" s="1"/>
      <c r="N28" s="121" t="s">
        <v>311</v>
      </c>
      <c r="O28" s="69" t="s">
        <v>19</v>
      </c>
      <c r="P28" s="69" t="str">
        <f>VLOOKUP(UNIFAEL.[[#This Row],[CURSO]],'[1]POS_VIVO_0112 a 3101_CAMP. REG)'!$F$5:$G$113,2,FALSE)</f>
        <v>Saúde</v>
      </c>
      <c r="Q28" s="68">
        <f>VLOOKUP(UNIFAEL.[[#This Row],[CURSO]],'[1]POS_VIVO_0112 a 3101_CAMP. REG)'!$F$5:$H$113,3,FALSE)</f>
        <v>12</v>
      </c>
      <c r="R28" s="68">
        <f>VLOOKUP(UNIFAEL.[[#This Row],[CURSO]],'[1]POS_VIVO_0112 a 3101_CAMP. REG)'!$F$5:$I$113,4,FALSE)</f>
        <v>19</v>
      </c>
      <c r="S28" s="73">
        <f>VLOOKUP(UNIFAEL.[[#This Row],[CURSO]],'[1]POS_VIVO_0112 a 3101_CAMP. REG)'!$F$5:$J$113,5,FALSE)</f>
        <v>291.43870800000002</v>
      </c>
      <c r="T28" s="124">
        <f>VLOOKUP(UNIFAEL.[[#This Row],[CURSO]],'[1]POS_VIVO_0112 a 3101_CAMP. REG)'!$F$5:$L$113,7,FALSE)</f>
        <v>0.4</v>
      </c>
      <c r="U28" s="73">
        <f>VLOOKUP(UNIFAEL.[[#This Row],[CURSO]],'[1]POS_VIVO_0112 a 3101_CAMP. REG)'!$F$5:$M$113,8,FALSE)</f>
        <v>157.38</v>
      </c>
      <c r="V28" s="72">
        <f>VLOOKUP(UNIFAEL.[[#This Row],[CURSO]],'[1]POS_VIVO_0112 a 3101_CAMP. REG)'!$F$5:$P$113,11,FALSE)</f>
        <v>0.45</v>
      </c>
      <c r="W28" s="73">
        <f>VLOOKUP(UNIFAEL.[[#This Row],[CURSO]],'[1]POS_VIVO_0112 a 3101_CAMP. REG)'!$F$5:$Q$113,12,FALSE)</f>
        <v>144.26</v>
      </c>
      <c r="X28" s="75">
        <f>UNIFAEL.[[#This Row],[Nº Parcelas]]</f>
        <v>19</v>
      </c>
      <c r="Y28" s="75">
        <f>UNIFAEL.[[#This Row],[Nº Parcelas normal2]]-1</f>
        <v>18</v>
      </c>
      <c r="Z28" s="73">
        <f>UNIFAEL.[[#This Row],[$ NORMAL]]</f>
        <v>291.43870800000002</v>
      </c>
      <c r="AA28" s="72">
        <f>UNIFAEL.[[#This Row],[%  SITE]]</f>
        <v>0.4</v>
      </c>
      <c r="AB28" s="73">
        <f>UNIFAEL.[[#This Row],[$ SITE]]</f>
        <v>157.38</v>
      </c>
      <c r="AC28" s="72">
        <f>UNIFAEL.[[#This Row],[%  SGP]]</f>
        <v>0.45</v>
      </c>
      <c r="AD28" s="73">
        <f>UNIFAEL.[[#This Row],[$ SGP]]</f>
        <v>144.26</v>
      </c>
      <c r="AE28" s="69" t="s">
        <v>371</v>
      </c>
      <c r="AF28" s="69" t="s">
        <v>372</v>
      </c>
      <c r="AH28" s="121" t="s">
        <v>311</v>
      </c>
      <c r="AI28" s="69" t="s">
        <v>19</v>
      </c>
      <c r="AJ28" s="69" t="str">
        <f>VLOOKUP(UNAMA.[[#This Row],[PARCELA MATRICULA NÃO PAGA]],'[1]POS_VIVO_0112 a 3101_CAMP. REG)'!$F$115:$G$222,2,FALSE)</f>
        <v>Saúde</v>
      </c>
      <c r="AK28" s="69">
        <f>VLOOKUP(UNAMA.[[#This Row],[PARCELA MATRICULA NÃO PAGA]],'[1]POS_VIVO_0112 a 3101_CAMP. REG)'!$F$115:$H$222,3,FALSE)</f>
        <v>12</v>
      </c>
      <c r="AL28" s="69">
        <f>VLOOKUP(UNAMA.[[#This Row],[PARCELA MATRICULA NÃO PAGA]],'[1]POS_VIVO_0112 a 3101_CAMP. REG)'!$F$115:$I$222,4,FALSE)</f>
        <v>19</v>
      </c>
      <c r="AM28" s="73">
        <f>VLOOKUP(UNAMA.[[#This Row],[PARCELA MATRICULA NÃO PAGA]],'[1]POS_VIVO_0112 a 3101_CAMP. REG)'!$F$115:$J$222,5,FALSE)</f>
        <v>320.59937400000007</v>
      </c>
      <c r="AN28" s="123">
        <f>VLOOKUP(UNAMA.[[#This Row],[PARCELA MATRICULA NÃO PAGA]],'[1]POS_VIVO_0112 a 3101_CAMP. REG)'!$F$115:$L$222,7,FALSE)</f>
        <v>0.4</v>
      </c>
      <c r="AO28" s="73">
        <f>VLOOKUP(UNAMA.[[#This Row],[PARCELA MATRICULA NÃO PAGA]],'[1]POS_VIVO_0112 a 3101_CAMP. REG)'!$F$115:$M$222,8,FALSE)</f>
        <v>173.12</v>
      </c>
      <c r="AP28" s="72">
        <f>VLOOKUP(UNAMA.[[#This Row],[PARCELA MATRICULA NÃO PAGA]],'[1]POS_VIVO_0112 a 3101_CAMP. REG)'!$F$115:$P$222,11,FALSE)</f>
        <v>0.45</v>
      </c>
      <c r="AQ28" s="73">
        <f>VLOOKUP(UNAMA.[[#This Row],[PARCELA MATRICULA NÃO PAGA]],'[1]POS_VIVO_0112 a 3101_CAMP. REG)'!$F$115:$Q$222,12,FALSE)</f>
        <v>158.69999999999999</v>
      </c>
      <c r="AR28" s="68">
        <f>UNAMA.[[#This Row],[Nº Parcelas]]</f>
        <v>19</v>
      </c>
      <c r="AS28" s="68">
        <f>UNAMA.[[#This Row],[Nº Parcelas normal2]]-1</f>
        <v>18</v>
      </c>
      <c r="AT28" s="71">
        <f>UNAMA.[[#This Row],[$ NORMAL]]</f>
        <v>320.59937400000007</v>
      </c>
      <c r="AU28" s="162">
        <f>UNAMA.[[#This Row],[%  SITE]]</f>
        <v>0.4</v>
      </c>
      <c r="AV28" s="161">
        <f>UNAMA.[[#This Row],[$ SITE]]</f>
        <v>173.12</v>
      </c>
      <c r="AW28" s="162">
        <f>UNAMA.[[#This Row],[%  SGP]]</f>
        <v>0.45</v>
      </c>
      <c r="AX28" s="161">
        <f>UNAMA.[[#This Row],[$ SGP]]</f>
        <v>158.69999999999999</v>
      </c>
      <c r="AY28" s="69" t="s">
        <v>351</v>
      </c>
      <c r="AZ28" s="69" t="s">
        <v>372</v>
      </c>
      <c r="BB28" s="121" t="s">
        <v>311</v>
      </c>
      <c r="BC28" s="69" t="s">
        <v>19</v>
      </c>
      <c r="BD28" s="69" t="str">
        <f>VLOOKUP(UNG.[[#This Row],[CURSO]],'[1]POS_VIVO_0112 a 3101_CAMP. REG)'!$F$224:$G$331,2,FALSE)</f>
        <v>Saúde</v>
      </c>
      <c r="BE28" s="68">
        <f>VLOOKUP(UNG.[[#This Row],[CURSO]],'[1]POS_VIVO_0112 a 3101_CAMP. REG)'!$F$224:$H$331,3,FALSE)</f>
        <v>12</v>
      </c>
      <c r="BF28" s="68">
        <f>VLOOKUP(UNG.[[#This Row],[CURSO]],'[1]POS_VIVO_0112 a 3101_CAMP. REG)'!$F$224:$I$331,4,FALSE)</f>
        <v>19</v>
      </c>
      <c r="BG28" s="73">
        <f>VLOOKUP(UNG.[[#This Row],[CURSO]],'[1]POS_VIVO_0112 a 3101_CAMP. REG)'!$F$224:$J$331,5,FALSE)</f>
        <v>291.43870800000002</v>
      </c>
      <c r="BH28" s="72">
        <f>VLOOKUP(UNG.[[#This Row],[CURSO]],'[1]POS_VIVO_0112 a 3101_CAMP. REG)'!$F$224:$L$331,7,FALSE)</f>
        <v>0.4</v>
      </c>
      <c r="BI28" s="73">
        <f>VLOOKUP(UNG.[[#This Row],[CURSO]],'[1]POS_VIVO_0112 a 3101_CAMP. REG)'!$F$224:$M$331,8,FALSE)</f>
        <v>157.38</v>
      </c>
      <c r="BJ28" s="72">
        <f>VLOOKUP(UNG.[[#This Row],[CURSO]],'[1]POS_VIVO_0112 a 3101_CAMP. REG)'!$F$224:$P$331,11,FALSE)</f>
        <v>0.45</v>
      </c>
      <c r="BK28" s="73">
        <f>VLOOKUP(UNG.[[#This Row],[CURSO]],'[1]POS_VIVO_0112 a 3101_CAMP. REG)'!$F$224:$Q$331,12,FALSE)</f>
        <v>144.26</v>
      </c>
      <c r="BL28" s="75">
        <f>UNG.[[#This Row],[Nº Parcelas]]</f>
        <v>19</v>
      </c>
      <c r="BM28" s="75">
        <f>UNG.[[#This Row],[Nº Parcelas normal2]]-1</f>
        <v>18</v>
      </c>
      <c r="BN28" s="73">
        <f>UNG.[[#This Row],[$ NORMAL]]</f>
        <v>291.43870800000002</v>
      </c>
      <c r="BO28" s="72">
        <f>UNG.[[#This Row],[%  SITE]]</f>
        <v>0.4</v>
      </c>
      <c r="BP28" s="73">
        <f>UNG.[[#This Row],[$ SITE]]</f>
        <v>157.38</v>
      </c>
      <c r="BQ28" s="72">
        <f>UNG.[[#This Row],[%  SGP]]</f>
        <v>0.45</v>
      </c>
      <c r="BR28" s="73">
        <f>UNG.[[#This Row],[$ SGP]]</f>
        <v>144.26</v>
      </c>
      <c r="BS28" s="69" t="s">
        <v>351</v>
      </c>
      <c r="BT28" s="69" t="s">
        <v>372</v>
      </c>
      <c r="BV28" s="121" t="s">
        <v>311</v>
      </c>
      <c r="BW28" s="69" t="s">
        <v>19</v>
      </c>
      <c r="BX28" s="69" t="str">
        <f>VLOOKUP(UNINASSAU.[[#This Row],[CURSO]],'[1]POS_VIVO_0112 a 3101_CAMP. REG)'!$F$333:$G$447,2,FALSE)</f>
        <v>Saúde</v>
      </c>
      <c r="BY28" s="68">
        <f>VLOOKUP(UNINASSAU.[[#This Row],[CURSO]],'[1]POS_VIVO_0112 a 3101_CAMP. REG)'!$F$333:$H$447,3,FALSE)</f>
        <v>12</v>
      </c>
      <c r="BZ28" s="68">
        <f>VLOOKUP(UNINASSAU.[[#This Row],[CURSO]],'[1]POS_VIVO_0112 a 3101_CAMP. REG)'!$F$333:$I$447,4,FALSE)</f>
        <v>19</v>
      </c>
      <c r="CA28" s="73">
        <f>VLOOKUP(UNINASSAU.[[#This Row],[CURSO]],'[1]POS_VIVO_0112 a 3101_CAMP. REG)'!$F$333:$J$447,5,FALSE)</f>
        <v>291.43870800000002</v>
      </c>
      <c r="CB28" s="72">
        <f>VLOOKUP(UNINASSAU.[[#This Row],[CURSO]],'[1]POS_VIVO_0112 a 3101_CAMP. REG)'!$F$333:$L$447,7,FALSE)</f>
        <v>0.4</v>
      </c>
      <c r="CC28" s="73">
        <f>VLOOKUP(UNINASSAU.[[#This Row],[CURSO]],'[1]POS_VIVO_0112 a 3101_CAMP. REG)'!$F$333:$M$447,8,FALSE)</f>
        <v>157.38</v>
      </c>
      <c r="CD28" s="72">
        <f>VLOOKUP(UNINASSAU.[[#This Row],[CURSO]],'[1]POS_VIVO_0112 a 3101_CAMP. REG)'!$F$333:$P$447,11,FALSE)</f>
        <v>0.45</v>
      </c>
      <c r="CE28" s="73">
        <f>VLOOKUP(UNINASSAU.[[#This Row],[CURSO]],'[1]POS_VIVO_0112 a 3101_CAMP. REG)'!$F$333:$Q$447,12,FALSE)</f>
        <v>144.26</v>
      </c>
      <c r="CF28" s="75">
        <f>UNINASSAU.[[#This Row],[Nº Parcelas]]</f>
        <v>19</v>
      </c>
      <c r="CG28" s="75">
        <f>UNINASSAU.[[#This Row],[Nº Parcelas normal2]]-1</f>
        <v>18</v>
      </c>
      <c r="CH28" s="73">
        <f>UNINASSAU.[[#This Row],[$ NORMAL]]</f>
        <v>291.43870800000002</v>
      </c>
      <c r="CI28" s="72">
        <f>UNINASSAU.[[#This Row],[%  SITE]]</f>
        <v>0.4</v>
      </c>
      <c r="CJ28" s="73">
        <f>UNINASSAU.[[#This Row],[$ SITE]]</f>
        <v>157.38</v>
      </c>
      <c r="CK28" s="72">
        <f>UNINASSAU.[[#This Row],[%  SGP]]</f>
        <v>0.45</v>
      </c>
      <c r="CL28" s="73">
        <f>UNINASSAU.[[#This Row],[$ SGP]]</f>
        <v>144.26</v>
      </c>
      <c r="CM28" s="69" t="s">
        <v>351</v>
      </c>
      <c r="CN28" s="69" t="s">
        <v>372</v>
      </c>
      <c r="CP28" s="104">
        <v>25</v>
      </c>
      <c r="CQ28" s="121" t="s">
        <v>284</v>
      </c>
      <c r="CR28" s="67"/>
    </row>
    <row r="29" spans="1:109" ht="16.5" customHeight="1" x14ac:dyDescent="0.25">
      <c r="A29" s="164" t="s">
        <v>362</v>
      </c>
      <c r="B29" s="17"/>
      <c r="C29" s="17"/>
      <c r="D29" s="26" t="str">
        <f ca="1">IF($D$20=0,"","▶  O valor da mensalidade já inclui o desconto de pontualidade de 10% para pagamento no dia 08/mês")</f>
        <v>▶  O valor da mensalidade já inclui o desconto de pontualidade de 10% para pagamento no dia 08/mês</v>
      </c>
      <c r="E29" s="18"/>
      <c r="F29" s="18"/>
      <c r="G29" s="17"/>
      <c r="H29" s="17"/>
      <c r="I29" s="19"/>
      <c r="N29" s="121" t="s">
        <v>335</v>
      </c>
      <c r="O29" s="69" t="s">
        <v>19</v>
      </c>
      <c r="P29" s="69" t="str">
        <f>VLOOKUP(UNIFAEL.[[#This Row],[CURSO]],'[1]POS_VIVO_0112 a 3101_CAMP. REG)'!$F$5:$G$113,2,FALSE)</f>
        <v>Tecnologia/Engenharia</v>
      </c>
      <c r="Q29" s="68">
        <f>VLOOKUP(UNIFAEL.[[#This Row],[CURSO]],'[1]POS_VIVO_0112 a 3101_CAMP. REG)'!$F$5:$H$113,3,FALSE)</f>
        <v>12</v>
      </c>
      <c r="R29" s="68">
        <f>VLOOKUP(UNIFAEL.[[#This Row],[CURSO]],'[1]POS_VIVO_0112 a 3101_CAMP. REG)'!$F$5:$I$113,4,FALSE)</f>
        <v>19</v>
      </c>
      <c r="S29" s="73">
        <f>VLOOKUP(UNIFAEL.[[#This Row],[CURSO]],'[1]POS_VIVO_0112 a 3101_CAMP. REG)'!$F$5:$J$113,5,FALSE)</f>
        <v>320.59937400000007</v>
      </c>
      <c r="T29" s="124">
        <f>VLOOKUP(UNIFAEL.[[#This Row],[CURSO]],'[1]POS_VIVO_0112 a 3101_CAMP. REG)'!$F$5:$L$113,7,FALSE)</f>
        <v>0.5</v>
      </c>
      <c r="U29" s="73">
        <f>VLOOKUP(UNIFAEL.[[#This Row],[CURSO]],'[1]POS_VIVO_0112 a 3101_CAMP. REG)'!$F$5:$M$113,8,FALSE)</f>
        <v>144.27000000000001</v>
      </c>
      <c r="V29" s="72">
        <f>VLOOKUP(UNIFAEL.[[#This Row],[CURSO]],'[1]POS_VIVO_0112 a 3101_CAMP. REG)'!$F$5:$P$113,11,FALSE)</f>
        <v>0.55000000000000004</v>
      </c>
      <c r="W29" s="73">
        <f>VLOOKUP(UNIFAEL.[[#This Row],[CURSO]],'[1]POS_VIVO_0112 a 3101_CAMP. REG)'!$F$5:$Q$113,12,FALSE)</f>
        <v>129.84</v>
      </c>
      <c r="X29" s="75">
        <f>UNIFAEL.[[#This Row],[Nº Parcelas]]</f>
        <v>19</v>
      </c>
      <c r="Y29" s="75">
        <f>UNIFAEL.[[#This Row],[Nº Parcelas normal2]]-1</f>
        <v>18</v>
      </c>
      <c r="Z29" s="73">
        <f>UNIFAEL.[[#This Row],[$ NORMAL]]</f>
        <v>320.59937400000007</v>
      </c>
      <c r="AA29" s="72">
        <f>UNIFAEL.[[#This Row],[%  SITE]]</f>
        <v>0.5</v>
      </c>
      <c r="AB29" s="73">
        <f>UNIFAEL.[[#This Row],[$ SITE]]</f>
        <v>144.27000000000001</v>
      </c>
      <c r="AC29" s="72">
        <f>UNIFAEL.[[#This Row],[%  SGP]]</f>
        <v>0.55000000000000004</v>
      </c>
      <c r="AD29" s="73">
        <f>UNIFAEL.[[#This Row],[$ SGP]]</f>
        <v>129.84</v>
      </c>
      <c r="AE29" s="69" t="s">
        <v>371</v>
      </c>
      <c r="AF29" s="69" t="s">
        <v>372</v>
      </c>
      <c r="AH29" s="121" t="s">
        <v>335</v>
      </c>
      <c r="AI29" s="69" t="s">
        <v>19</v>
      </c>
      <c r="AJ29" s="69" t="str">
        <f>VLOOKUP(UNAMA.[[#This Row],[PARCELA MATRICULA NÃO PAGA]],'[1]POS_VIVO_0112 a 3101_CAMP. REG)'!$F$115:$G$222,2,FALSE)</f>
        <v>Tecnologia/Engenharia</v>
      </c>
      <c r="AK29" s="69">
        <f>VLOOKUP(UNAMA.[[#This Row],[PARCELA MATRICULA NÃO PAGA]],'[1]POS_VIVO_0112 a 3101_CAMP. REG)'!$F$115:$H$222,3,FALSE)</f>
        <v>12</v>
      </c>
      <c r="AL29" s="69">
        <f>VLOOKUP(UNAMA.[[#This Row],[PARCELA MATRICULA NÃO PAGA]],'[1]POS_VIVO_0112 a 3101_CAMP. REG)'!$F$115:$I$222,4,FALSE)</f>
        <v>19</v>
      </c>
      <c r="AM29" s="73">
        <f>VLOOKUP(UNAMA.[[#This Row],[PARCELA MATRICULA NÃO PAGA]],'[1]POS_VIVO_0112 a 3101_CAMP. REG)'!$F$115:$J$222,5,FALSE)</f>
        <v>352.66770900000006</v>
      </c>
      <c r="AN29" s="123">
        <f>VLOOKUP(UNAMA.[[#This Row],[PARCELA MATRICULA NÃO PAGA]],'[1]POS_VIVO_0112 a 3101_CAMP. REG)'!$F$115:$L$222,7,FALSE)</f>
        <v>0.5</v>
      </c>
      <c r="AO29" s="73">
        <f>VLOOKUP(UNAMA.[[#This Row],[PARCELA MATRICULA NÃO PAGA]],'[1]POS_VIVO_0112 a 3101_CAMP. REG)'!$F$115:$M$222,8,FALSE)</f>
        <v>158.69999999999999</v>
      </c>
      <c r="AP29" s="72">
        <f>VLOOKUP(UNAMA.[[#This Row],[PARCELA MATRICULA NÃO PAGA]],'[1]POS_VIVO_0112 a 3101_CAMP. REG)'!$F$115:$P$222,11,FALSE)</f>
        <v>0.55000000000000004</v>
      </c>
      <c r="AQ29" s="73">
        <f>VLOOKUP(UNAMA.[[#This Row],[PARCELA MATRICULA NÃO PAGA]],'[1]POS_VIVO_0112 a 3101_CAMP. REG)'!$F$115:$Q$222,12,FALSE)</f>
        <v>142.83000000000001</v>
      </c>
      <c r="AR29" s="68">
        <f>UNAMA.[[#This Row],[Nº Parcelas]]</f>
        <v>19</v>
      </c>
      <c r="AS29" s="68">
        <f>UNAMA.[[#This Row],[Nº Parcelas normal2]]-1</f>
        <v>18</v>
      </c>
      <c r="AT29" s="71">
        <f>UNAMA.[[#This Row],[$ NORMAL]]</f>
        <v>352.66770900000006</v>
      </c>
      <c r="AU29" s="162">
        <f>UNAMA.[[#This Row],[%  SITE]]</f>
        <v>0.5</v>
      </c>
      <c r="AV29" s="161">
        <f>UNAMA.[[#This Row],[$ SITE]]</f>
        <v>158.69999999999999</v>
      </c>
      <c r="AW29" s="162">
        <f>UNAMA.[[#This Row],[%  SGP]]</f>
        <v>0.55000000000000004</v>
      </c>
      <c r="AX29" s="161">
        <f>UNAMA.[[#This Row],[$ SGP]]</f>
        <v>142.83000000000001</v>
      </c>
      <c r="AY29" s="69" t="s">
        <v>351</v>
      </c>
      <c r="AZ29" s="69" t="s">
        <v>372</v>
      </c>
      <c r="BB29" s="121" t="s">
        <v>335</v>
      </c>
      <c r="BC29" s="69" t="s">
        <v>19</v>
      </c>
      <c r="BD29" s="69" t="str">
        <f>VLOOKUP(UNG.[[#This Row],[CURSO]],'[1]POS_VIVO_0112 a 3101_CAMP. REG)'!$F$224:$G$331,2,FALSE)</f>
        <v>Tecnologia/Engenharia</v>
      </c>
      <c r="BE29" s="68">
        <f>VLOOKUP(UNG.[[#This Row],[CURSO]],'[1]POS_VIVO_0112 a 3101_CAMP. REG)'!$F$224:$H$331,3,FALSE)</f>
        <v>12</v>
      </c>
      <c r="BF29" s="68">
        <f>VLOOKUP(UNG.[[#This Row],[CURSO]],'[1]POS_VIVO_0112 a 3101_CAMP. REG)'!$F$224:$I$331,4,FALSE)</f>
        <v>19</v>
      </c>
      <c r="BG29" s="73">
        <f>VLOOKUP(UNG.[[#This Row],[CURSO]],'[1]POS_VIVO_0112 a 3101_CAMP. REG)'!$F$224:$J$331,5,FALSE)</f>
        <v>320.59937400000007</v>
      </c>
      <c r="BH29" s="72">
        <f>VLOOKUP(UNG.[[#This Row],[CURSO]],'[1]POS_VIVO_0112 a 3101_CAMP. REG)'!$F$224:$L$331,7,FALSE)</f>
        <v>0.5</v>
      </c>
      <c r="BI29" s="73">
        <f>VLOOKUP(UNG.[[#This Row],[CURSO]],'[1]POS_VIVO_0112 a 3101_CAMP. REG)'!$F$224:$M$331,8,FALSE)</f>
        <v>144.27000000000001</v>
      </c>
      <c r="BJ29" s="72">
        <f>VLOOKUP(UNG.[[#This Row],[CURSO]],'[1]POS_VIVO_0112 a 3101_CAMP. REG)'!$F$224:$P$331,11,FALSE)</f>
        <v>0.55000000000000004</v>
      </c>
      <c r="BK29" s="73">
        <f>VLOOKUP(UNG.[[#This Row],[CURSO]],'[1]POS_VIVO_0112 a 3101_CAMP. REG)'!$F$224:$Q$331,12,FALSE)</f>
        <v>129.84</v>
      </c>
      <c r="BL29" s="75">
        <f>UNG.[[#This Row],[Nº Parcelas]]</f>
        <v>19</v>
      </c>
      <c r="BM29" s="75">
        <f>UNG.[[#This Row],[Nº Parcelas normal2]]-1</f>
        <v>18</v>
      </c>
      <c r="BN29" s="73">
        <f>UNG.[[#This Row],[$ NORMAL]]</f>
        <v>320.59937400000007</v>
      </c>
      <c r="BO29" s="72">
        <f>UNG.[[#This Row],[%  SITE]]</f>
        <v>0.5</v>
      </c>
      <c r="BP29" s="73">
        <f>UNG.[[#This Row],[$ SITE]]</f>
        <v>144.27000000000001</v>
      </c>
      <c r="BQ29" s="72">
        <f>UNG.[[#This Row],[%  SGP]]</f>
        <v>0.55000000000000004</v>
      </c>
      <c r="BR29" s="73">
        <f>UNG.[[#This Row],[$ SGP]]</f>
        <v>129.84</v>
      </c>
      <c r="BS29" s="69" t="s">
        <v>351</v>
      </c>
      <c r="BT29" s="69" t="s">
        <v>372</v>
      </c>
      <c r="BV29" s="121" t="s">
        <v>335</v>
      </c>
      <c r="BW29" s="69" t="s">
        <v>19</v>
      </c>
      <c r="BX29" s="69" t="str">
        <f>VLOOKUP(UNINASSAU.[[#This Row],[CURSO]],'[1]POS_VIVO_0112 a 3101_CAMP. REG)'!$F$333:$G$447,2,FALSE)</f>
        <v>Tecnologia/Engenharia</v>
      </c>
      <c r="BY29" s="68">
        <f>VLOOKUP(UNINASSAU.[[#This Row],[CURSO]],'[1]POS_VIVO_0112 a 3101_CAMP. REG)'!$F$333:$H$447,3,FALSE)</f>
        <v>12</v>
      </c>
      <c r="BZ29" s="68">
        <f>VLOOKUP(UNINASSAU.[[#This Row],[CURSO]],'[1]POS_VIVO_0112 a 3101_CAMP. REG)'!$F$333:$I$447,4,FALSE)</f>
        <v>19</v>
      </c>
      <c r="CA29" s="73">
        <f>VLOOKUP(UNINASSAU.[[#This Row],[CURSO]],'[1]POS_VIVO_0112 a 3101_CAMP. REG)'!$F$333:$J$447,5,FALSE)</f>
        <v>320.59937400000007</v>
      </c>
      <c r="CB29" s="72">
        <f>VLOOKUP(UNINASSAU.[[#This Row],[CURSO]],'[1]POS_VIVO_0112 a 3101_CAMP. REG)'!$F$333:$L$447,7,FALSE)</f>
        <v>0.5</v>
      </c>
      <c r="CC29" s="73">
        <f>VLOOKUP(UNINASSAU.[[#This Row],[CURSO]],'[1]POS_VIVO_0112 a 3101_CAMP. REG)'!$F$333:$M$447,8,FALSE)</f>
        <v>144.27000000000001</v>
      </c>
      <c r="CD29" s="72">
        <f>VLOOKUP(UNINASSAU.[[#This Row],[CURSO]],'[1]POS_VIVO_0112 a 3101_CAMP. REG)'!$F$333:$P$447,11,FALSE)</f>
        <v>0.55000000000000004</v>
      </c>
      <c r="CE29" s="73">
        <f>VLOOKUP(UNINASSAU.[[#This Row],[CURSO]],'[1]POS_VIVO_0112 a 3101_CAMP. REG)'!$F$333:$Q$447,12,FALSE)</f>
        <v>129.84</v>
      </c>
      <c r="CF29" s="75">
        <f>UNINASSAU.[[#This Row],[Nº Parcelas]]</f>
        <v>19</v>
      </c>
      <c r="CG29" s="75">
        <f>UNINASSAU.[[#This Row],[Nº Parcelas normal2]]-1</f>
        <v>18</v>
      </c>
      <c r="CH29" s="73">
        <f>UNINASSAU.[[#This Row],[$ NORMAL]]</f>
        <v>320.59937400000007</v>
      </c>
      <c r="CI29" s="72">
        <f>UNINASSAU.[[#This Row],[%  SITE]]</f>
        <v>0.5</v>
      </c>
      <c r="CJ29" s="73">
        <f>UNINASSAU.[[#This Row],[$ SITE]]</f>
        <v>144.27000000000001</v>
      </c>
      <c r="CK29" s="72">
        <f>UNINASSAU.[[#This Row],[%  SGP]]</f>
        <v>0.55000000000000004</v>
      </c>
      <c r="CL29" s="73">
        <f>UNINASSAU.[[#This Row],[$ SGP]]</f>
        <v>129.84</v>
      </c>
      <c r="CM29" s="69" t="s">
        <v>351</v>
      </c>
      <c r="CN29" s="69" t="s">
        <v>372</v>
      </c>
      <c r="CP29" s="104">
        <v>26</v>
      </c>
      <c r="CQ29" s="121" t="s">
        <v>77</v>
      </c>
      <c r="CR29" s="67"/>
    </row>
    <row r="30" spans="1:109" ht="16.5" customHeight="1" thickBot="1" x14ac:dyDescent="0.3">
      <c r="A30" s="165"/>
      <c r="B30" s="34"/>
      <c r="C30" s="34"/>
      <c r="D30" s="34"/>
      <c r="E30" s="35"/>
      <c r="F30" s="35"/>
      <c r="G30" s="34"/>
      <c r="H30" s="34"/>
      <c r="I30" s="36"/>
      <c r="N30" s="121" t="s">
        <v>316</v>
      </c>
      <c r="O30" s="69" t="s">
        <v>19</v>
      </c>
      <c r="P30" s="69" t="str">
        <f>VLOOKUP(UNIFAEL.[[#This Row],[CURSO]],'[1]POS_VIVO_0112 a 3101_CAMP. REG)'!$F$5:$G$113,2,FALSE)</f>
        <v>Tecnologia/Engenharia</v>
      </c>
      <c r="Q30" s="68">
        <f>VLOOKUP(UNIFAEL.[[#This Row],[CURSO]],'[1]POS_VIVO_0112 a 3101_CAMP. REG)'!$F$5:$H$113,3,FALSE)</f>
        <v>12</v>
      </c>
      <c r="R30" s="68">
        <f>VLOOKUP(UNIFAEL.[[#This Row],[CURSO]],'[1]POS_VIVO_0112 a 3101_CAMP. REG)'!$F$5:$I$113,4,FALSE)</f>
        <v>19</v>
      </c>
      <c r="S30" s="73">
        <f>VLOOKUP(UNIFAEL.[[#This Row],[CURSO]],'[1]POS_VIVO_0112 a 3101_CAMP. REG)'!$F$5:$J$113,5,FALSE)</f>
        <v>291.43870800000002</v>
      </c>
      <c r="T30" s="124">
        <f>VLOOKUP(UNIFAEL.[[#This Row],[CURSO]],'[1]POS_VIVO_0112 a 3101_CAMP. REG)'!$F$5:$L$113,7,FALSE)</f>
        <v>0.4</v>
      </c>
      <c r="U30" s="73">
        <f>VLOOKUP(UNIFAEL.[[#This Row],[CURSO]],'[1]POS_VIVO_0112 a 3101_CAMP. REG)'!$F$5:$M$113,8,FALSE)</f>
        <v>157.38</v>
      </c>
      <c r="V30" s="72">
        <f>VLOOKUP(UNIFAEL.[[#This Row],[CURSO]],'[1]POS_VIVO_0112 a 3101_CAMP. REG)'!$F$5:$P$113,11,FALSE)</f>
        <v>0.45</v>
      </c>
      <c r="W30" s="73">
        <f>VLOOKUP(UNIFAEL.[[#This Row],[CURSO]],'[1]POS_VIVO_0112 a 3101_CAMP. REG)'!$F$5:$Q$113,12,FALSE)</f>
        <v>144.26</v>
      </c>
      <c r="X30" s="75">
        <f>UNIFAEL.[[#This Row],[Nº Parcelas]]</f>
        <v>19</v>
      </c>
      <c r="Y30" s="75">
        <f>UNIFAEL.[[#This Row],[Nº Parcelas normal2]]-1</f>
        <v>18</v>
      </c>
      <c r="Z30" s="73">
        <f>UNIFAEL.[[#This Row],[$ NORMAL]]</f>
        <v>291.43870800000002</v>
      </c>
      <c r="AA30" s="72">
        <f>UNIFAEL.[[#This Row],[%  SITE]]</f>
        <v>0.4</v>
      </c>
      <c r="AB30" s="73">
        <f>UNIFAEL.[[#This Row],[$ SITE]]</f>
        <v>157.38</v>
      </c>
      <c r="AC30" s="72">
        <f>UNIFAEL.[[#This Row],[%  SGP]]</f>
        <v>0.45</v>
      </c>
      <c r="AD30" s="73">
        <f>UNIFAEL.[[#This Row],[$ SGP]]</f>
        <v>144.26</v>
      </c>
      <c r="AE30" s="69" t="s">
        <v>371</v>
      </c>
      <c r="AF30" s="69" t="s">
        <v>372</v>
      </c>
      <c r="AH30" s="121" t="s">
        <v>316</v>
      </c>
      <c r="AI30" s="69" t="s">
        <v>19</v>
      </c>
      <c r="AJ30" s="69" t="str">
        <f>VLOOKUP(UNAMA.[[#This Row],[PARCELA MATRICULA NÃO PAGA]],'[1]POS_VIVO_0112 a 3101_CAMP. REG)'!$F$115:$G$222,2,FALSE)</f>
        <v>Tecnologia/Engenharia</v>
      </c>
      <c r="AK30" s="69">
        <f>VLOOKUP(UNAMA.[[#This Row],[PARCELA MATRICULA NÃO PAGA]],'[1]POS_VIVO_0112 a 3101_CAMP. REG)'!$F$115:$H$222,3,FALSE)</f>
        <v>12</v>
      </c>
      <c r="AL30" s="69">
        <f>VLOOKUP(UNAMA.[[#This Row],[PARCELA MATRICULA NÃO PAGA]],'[1]POS_VIVO_0112 a 3101_CAMP. REG)'!$F$115:$I$222,4,FALSE)</f>
        <v>19</v>
      </c>
      <c r="AM30" s="73">
        <f>VLOOKUP(UNAMA.[[#This Row],[PARCELA MATRICULA NÃO PAGA]],'[1]POS_VIVO_0112 a 3101_CAMP. REG)'!$F$115:$J$222,5,FALSE)</f>
        <v>320.59937400000007</v>
      </c>
      <c r="AN30" s="123">
        <f>VLOOKUP(UNAMA.[[#This Row],[PARCELA MATRICULA NÃO PAGA]],'[1]POS_VIVO_0112 a 3101_CAMP. REG)'!$F$115:$L$222,7,FALSE)</f>
        <v>0.4</v>
      </c>
      <c r="AO30" s="73">
        <f>VLOOKUP(UNAMA.[[#This Row],[PARCELA MATRICULA NÃO PAGA]],'[1]POS_VIVO_0112 a 3101_CAMP. REG)'!$F$115:$M$222,8,FALSE)</f>
        <v>173.12</v>
      </c>
      <c r="AP30" s="72">
        <f>VLOOKUP(UNAMA.[[#This Row],[PARCELA MATRICULA NÃO PAGA]],'[1]POS_VIVO_0112 a 3101_CAMP. REG)'!$F$115:$P$222,11,FALSE)</f>
        <v>0.45</v>
      </c>
      <c r="AQ30" s="73">
        <f>VLOOKUP(UNAMA.[[#This Row],[PARCELA MATRICULA NÃO PAGA]],'[1]POS_VIVO_0112 a 3101_CAMP. REG)'!$F$115:$Q$222,12,FALSE)</f>
        <v>158.69999999999999</v>
      </c>
      <c r="AR30" s="68">
        <f>UNAMA.[[#This Row],[Nº Parcelas]]</f>
        <v>19</v>
      </c>
      <c r="AS30" s="68">
        <f>UNAMA.[[#This Row],[Nº Parcelas normal2]]-1</f>
        <v>18</v>
      </c>
      <c r="AT30" s="71">
        <f>UNAMA.[[#This Row],[$ NORMAL]]</f>
        <v>320.59937400000007</v>
      </c>
      <c r="AU30" s="162">
        <f>UNAMA.[[#This Row],[%  SITE]]</f>
        <v>0.4</v>
      </c>
      <c r="AV30" s="161">
        <f>UNAMA.[[#This Row],[$ SITE]]</f>
        <v>173.12</v>
      </c>
      <c r="AW30" s="162">
        <f>UNAMA.[[#This Row],[%  SGP]]</f>
        <v>0.45</v>
      </c>
      <c r="AX30" s="161">
        <f>UNAMA.[[#This Row],[$ SGP]]</f>
        <v>158.69999999999999</v>
      </c>
      <c r="AY30" s="69" t="s">
        <v>351</v>
      </c>
      <c r="AZ30" s="69" t="s">
        <v>372</v>
      </c>
      <c r="BB30" s="121" t="s">
        <v>316</v>
      </c>
      <c r="BC30" s="69" t="s">
        <v>19</v>
      </c>
      <c r="BD30" s="69" t="str">
        <f>VLOOKUP(UNG.[[#This Row],[CURSO]],'[1]POS_VIVO_0112 a 3101_CAMP. REG)'!$F$224:$G$331,2,FALSE)</f>
        <v>Tecnologia/Engenharia</v>
      </c>
      <c r="BE30" s="68">
        <f>VLOOKUP(UNG.[[#This Row],[CURSO]],'[1]POS_VIVO_0112 a 3101_CAMP. REG)'!$F$224:$H$331,3,FALSE)</f>
        <v>12</v>
      </c>
      <c r="BF30" s="68">
        <f>VLOOKUP(UNG.[[#This Row],[CURSO]],'[1]POS_VIVO_0112 a 3101_CAMP. REG)'!$F$224:$I$331,4,FALSE)</f>
        <v>19</v>
      </c>
      <c r="BG30" s="73">
        <f>VLOOKUP(UNG.[[#This Row],[CURSO]],'[1]POS_VIVO_0112 a 3101_CAMP. REG)'!$F$224:$J$331,5,FALSE)</f>
        <v>291.43870800000002</v>
      </c>
      <c r="BH30" s="72">
        <f>VLOOKUP(UNG.[[#This Row],[CURSO]],'[1]POS_VIVO_0112 a 3101_CAMP. REG)'!$F$224:$L$331,7,FALSE)</f>
        <v>0.4</v>
      </c>
      <c r="BI30" s="73">
        <f>VLOOKUP(UNG.[[#This Row],[CURSO]],'[1]POS_VIVO_0112 a 3101_CAMP. REG)'!$F$224:$M$331,8,FALSE)</f>
        <v>157.38</v>
      </c>
      <c r="BJ30" s="72">
        <f>VLOOKUP(UNG.[[#This Row],[CURSO]],'[1]POS_VIVO_0112 a 3101_CAMP. REG)'!$F$224:$P$331,11,FALSE)</f>
        <v>0.45</v>
      </c>
      <c r="BK30" s="73">
        <f>VLOOKUP(UNG.[[#This Row],[CURSO]],'[1]POS_VIVO_0112 a 3101_CAMP. REG)'!$F$224:$Q$331,12,FALSE)</f>
        <v>144.26</v>
      </c>
      <c r="BL30" s="75">
        <f>UNG.[[#This Row],[Nº Parcelas]]</f>
        <v>19</v>
      </c>
      <c r="BM30" s="75">
        <f>UNG.[[#This Row],[Nº Parcelas normal2]]-1</f>
        <v>18</v>
      </c>
      <c r="BN30" s="73">
        <f>UNG.[[#This Row],[$ NORMAL]]</f>
        <v>291.43870800000002</v>
      </c>
      <c r="BO30" s="72">
        <f>UNG.[[#This Row],[%  SITE]]</f>
        <v>0.4</v>
      </c>
      <c r="BP30" s="73">
        <f>UNG.[[#This Row],[$ SITE]]</f>
        <v>157.38</v>
      </c>
      <c r="BQ30" s="72">
        <f>UNG.[[#This Row],[%  SGP]]</f>
        <v>0.45</v>
      </c>
      <c r="BR30" s="73">
        <f>UNG.[[#This Row],[$ SGP]]</f>
        <v>144.26</v>
      </c>
      <c r="BS30" s="69" t="s">
        <v>351</v>
      </c>
      <c r="BT30" s="69" t="s">
        <v>372</v>
      </c>
      <c r="BV30" s="121" t="s">
        <v>316</v>
      </c>
      <c r="BW30" s="69" t="s">
        <v>19</v>
      </c>
      <c r="BX30" s="69" t="str">
        <f>VLOOKUP(UNINASSAU.[[#This Row],[CURSO]],'[1]POS_VIVO_0112 a 3101_CAMP. REG)'!$F$333:$G$447,2,FALSE)</f>
        <v>Tecnologia/Engenharia</v>
      </c>
      <c r="BY30" s="68">
        <f>VLOOKUP(UNINASSAU.[[#This Row],[CURSO]],'[1]POS_VIVO_0112 a 3101_CAMP. REG)'!$F$333:$H$447,3,FALSE)</f>
        <v>12</v>
      </c>
      <c r="BZ30" s="68">
        <f>VLOOKUP(UNINASSAU.[[#This Row],[CURSO]],'[1]POS_VIVO_0112 a 3101_CAMP. REG)'!$F$333:$I$447,4,FALSE)</f>
        <v>19</v>
      </c>
      <c r="CA30" s="73">
        <f>VLOOKUP(UNINASSAU.[[#This Row],[CURSO]],'[1]POS_VIVO_0112 a 3101_CAMP. REG)'!$F$333:$J$447,5,FALSE)</f>
        <v>291.43870800000002</v>
      </c>
      <c r="CB30" s="72">
        <f>VLOOKUP(UNINASSAU.[[#This Row],[CURSO]],'[1]POS_VIVO_0112 a 3101_CAMP. REG)'!$F$333:$L$447,7,FALSE)</f>
        <v>0.4</v>
      </c>
      <c r="CC30" s="73">
        <f>VLOOKUP(UNINASSAU.[[#This Row],[CURSO]],'[1]POS_VIVO_0112 a 3101_CAMP. REG)'!$F$333:$M$447,8,FALSE)</f>
        <v>157.38</v>
      </c>
      <c r="CD30" s="72">
        <f>VLOOKUP(UNINASSAU.[[#This Row],[CURSO]],'[1]POS_VIVO_0112 a 3101_CAMP. REG)'!$F$333:$P$447,11,FALSE)</f>
        <v>0.45</v>
      </c>
      <c r="CE30" s="73">
        <f>VLOOKUP(UNINASSAU.[[#This Row],[CURSO]],'[1]POS_VIVO_0112 a 3101_CAMP. REG)'!$F$333:$Q$447,12,FALSE)</f>
        <v>144.26</v>
      </c>
      <c r="CF30" s="75">
        <f>UNINASSAU.[[#This Row],[Nº Parcelas]]</f>
        <v>19</v>
      </c>
      <c r="CG30" s="75">
        <f>UNINASSAU.[[#This Row],[Nº Parcelas normal2]]-1</f>
        <v>18</v>
      </c>
      <c r="CH30" s="73">
        <f>UNINASSAU.[[#This Row],[$ NORMAL]]</f>
        <v>291.43870800000002</v>
      </c>
      <c r="CI30" s="72">
        <f>UNINASSAU.[[#This Row],[%  SITE]]</f>
        <v>0.4</v>
      </c>
      <c r="CJ30" s="73">
        <f>UNINASSAU.[[#This Row],[$ SITE]]</f>
        <v>157.38</v>
      </c>
      <c r="CK30" s="72">
        <f>UNINASSAU.[[#This Row],[%  SGP]]</f>
        <v>0.45</v>
      </c>
      <c r="CL30" s="73">
        <f>UNINASSAU.[[#This Row],[$ SGP]]</f>
        <v>144.26</v>
      </c>
      <c r="CM30" s="69" t="s">
        <v>351</v>
      </c>
      <c r="CN30" s="69" t="s">
        <v>372</v>
      </c>
      <c r="CP30" s="104">
        <v>27</v>
      </c>
      <c r="CQ30" s="121" t="s">
        <v>285</v>
      </c>
      <c r="CR30" s="67"/>
    </row>
    <row r="31" spans="1:109" ht="16.5" customHeight="1" x14ac:dyDescent="0.25">
      <c r="N31" s="121" t="s">
        <v>315</v>
      </c>
      <c r="O31" s="69" t="s">
        <v>19</v>
      </c>
      <c r="P31" s="69" t="str">
        <f>VLOOKUP(UNIFAEL.[[#This Row],[CURSO]],'[1]POS_VIVO_0112 a 3101_CAMP. REG)'!$F$5:$G$113,2,FALSE)</f>
        <v>Tecnologia/Engenharia</v>
      </c>
      <c r="Q31" s="68">
        <f>VLOOKUP(UNIFAEL.[[#This Row],[CURSO]],'[1]POS_VIVO_0112 a 3101_CAMP. REG)'!$F$5:$H$113,3,FALSE)</f>
        <v>12</v>
      </c>
      <c r="R31" s="68">
        <f>VLOOKUP(UNIFAEL.[[#This Row],[CURSO]],'[1]POS_VIVO_0112 a 3101_CAMP. REG)'!$F$5:$I$113,4,FALSE)</f>
        <v>19</v>
      </c>
      <c r="S31" s="73">
        <f>VLOOKUP(UNIFAEL.[[#This Row],[CURSO]],'[1]POS_VIVO_0112 a 3101_CAMP. REG)'!$F$5:$J$113,5,FALSE)</f>
        <v>291.43870800000002</v>
      </c>
      <c r="T31" s="124">
        <f>VLOOKUP(UNIFAEL.[[#This Row],[CURSO]],'[1]POS_VIVO_0112 a 3101_CAMP. REG)'!$F$5:$L$113,7,FALSE)</f>
        <v>0.4</v>
      </c>
      <c r="U31" s="73">
        <f>VLOOKUP(UNIFAEL.[[#This Row],[CURSO]],'[1]POS_VIVO_0112 a 3101_CAMP. REG)'!$F$5:$M$113,8,FALSE)</f>
        <v>157.38</v>
      </c>
      <c r="V31" s="72">
        <f>VLOOKUP(UNIFAEL.[[#This Row],[CURSO]],'[1]POS_VIVO_0112 a 3101_CAMP. REG)'!$F$5:$P$113,11,FALSE)</f>
        <v>0.45</v>
      </c>
      <c r="W31" s="73">
        <f>VLOOKUP(UNIFAEL.[[#This Row],[CURSO]],'[1]POS_VIVO_0112 a 3101_CAMP. REG)'!$F$5:$Q$113,12,FALSE)</f>
        <v>144.26</v>
      </c>
      <c r="X31" s="75">
        <f>UNIFAEL.[[#This Row],[Nº Parcelas]]</f>
        <v>19</v>
      </c>
      <c r="Y31" s="75">
        <f>UNIFAEL.[[#This Row],[Nº Parcelas normal2]]-1</f>
        <v>18</v>
      </c>
      <c r="Z31" s="73">
        <f>UNIFAEL.[[#This Row],[$ NORMAL]]</f>
        <v>291.43870800000002</v>
      </c>
      <c r="AA31" s="72">
        <f>UNIFAEL.[[#This Row],[%  SITE]]</f>
        <v>0.4</v>
      </c>
      <c r="AB31" s="73">
        <f>UNIFAEL.[[#This Row],[$ SITE]]</f>
        <v>157.38</v>
      </c>
      <c r="AC31" s="72">
        <f>UNIFAEL.[[#This Row],[%  SGP]]</f>
        <v>0.45</v>
      </c>
      <c r="AD31" s="73">
        <f>UNIFAEL.[[#This Row],[$ SGP]]</f>
        <v>144.26</v>
      </c>
      <c r="AE31" s="69" t="s">
        <v>371</v>
      </c>
      <c r="AF31" s="69" t="s">
        <v>372</v>
      </c>
      <c r="AH31" s="121" t="s">
        <v>315</v>
      </c>
      <c r="AI31" s="69" t="s">
        <v>19</v>
      </c>
      <c r="AJ31" s="69" t="str">
        <f>VLOOKUP(UNAMA.[[#This Row],[PARCELA MATRICULA NÃO PAGA]],'[1]POS_VIVO_0112 a 3101_CAMP. REG)'!$F$115:$G$222,2,FALSE)</f>
        <v>Tecnologia/Engenharia</v>
      </c>
      <c r="AK31" s="69">
        <f>VLOOKUP(UNAMA.[[#This Row],[PARCELA MATRICULA NÃO PAGA]],'[1]POS_VIVO_0112 a 3101_CAMP. REG)'!$F$115:$H$222,3,FALSE)</f>
        <v>12</v>
      </c>
      <c r="AL31" s="69">
        <f>VLOOKUP(UNAMA.[[#This Row],[PARCELA MATRICULA NÃO PAGA]],'[1]POS_VIVO_0112 a 3101_CAMP. REG)'!$F$115:$I$222,4,FALSE)</f>
        <v>19</v>
      </c>
      <c r="AM31" s="73">
        <f>VLOOKUP(UNAMA.[[#This Row],[PARCELA MATRICULA NÃO PAGA]],'[1]POS_VIVO_0112 a 3101_CAMP. REG)'!$F$115:$J$222,5,FALSE)</f>
        <v>320.59937400000007</v>
      </c>
      <c r="AN31" s="123">
        <f>VLOOKUP(UNAMA.[[#This Row],[PARCELA MATRICULA NÃO PAGA]],'[1]POS_VIVO_0112 a 3101_CAMP. REG)'!$F$115:$L$222,7,FALSE)</f>
        <v>0.4</v>
      </c>
      <c r="AO31" s="73">
        <f>VLOOKUP(UNAMA.[[#This Row],[PARCELA MATRICULA NÃO PAGA]],'[1]POS_VIVO_0112 a 3101_CAMP. REG)'!$F$115:$M$222,8,FALSE)</f>
        <v>173.12</v>
      </c>
      <c r="AP31" s="72">
        <f>VLOOKUP(UNAMA.[[#This Row],[PARCELA MATRICULA NÃO PAGA]],'[1]POS_VIVO_0112 a 3101_CAMP. REG)'!$F$115:$P$222,11,FALSE)</f>
        <v>0.45</v>
      </c>
      <c r="AQ31" s="73">
        <f>VLOOKUP(UNAMA.[[#This Row],[PARCELA MATRICULA NÃO PAGA]],'[1]POS_VIVO_0112 a 3101_CAMP. REG)'!$F$115:$Q$222,12,FALSE)</f>
        <v>158.69999999999999</v>
      </c>
      <c r="AR31" s="68">
        <f>UNAMA.[[#This Row],[Nº Parcelas]]</f>
        <v>19</v>
      </c>
      <c r="AS31" s="68">
        <f>UNAMA.[[#This Row],[Nº Parcelas normal2]]-1</f>
        <v>18</v>
      </c>
      <c r="AT31" s="71">
        <f>UNAMA.[[#This Row],[$ NORMAL]]</f>
        <v>320.59937400000007</v>
      </c>
      <c r="AU31" s="162">
        <f>UNAMA.[[#This Row],[%  SITE]]</f>
        <v>0.4</v>
      </c>
      <c r="AV31" s="161">
        <f>UNAMA.[[#This Row],[$ SITE]]</f>
        <v>173.12</v>
      </c>
      <c r="AW31" s="162">
        <f>UNAMA.[[#This Row],[%  SGP]]</f>
        <v>0.45</v>
      </c>
      <c r="AX31" s="161">
        <f>UNAMA.[[#This Row],[$ SGP]]</f>
        <v>158.69999999999999</v>
      </c>
      <c r="AY31" s="69" t="s">
        <v>351</v>
      </c>
      <c r="AZ31" s="69" t="s">
        <v>372</v>
      </c>
      <c r="BB31" s="121" t="s">
        <v>315</v>
      </c>
      <c r="BC31" s="69" t="s">
        <v>19</v>
      </c>
      <c r="BD31" s="69" t="str">
        <f>VLOOKUP(UNG.[[#This Row],[CURSO]],'[1]POS_VIVO_0112 a 3101_CAMP. REG)'!$F$224:$G$331,2,FALSE)</f>
        <v>Tecnologia/Engenharia</v>
      </c>
      <c r="BE31" s="68">
        <f>VLOOKUP(UNG.[[#This Row],[CURSO]],'[1]POS_VIVO_0112 a 3101_CAMP. REG)'!$F$224:$H$331,3,FALSE)</f>
        <v>12</v>
      </c>
      <c r="BF31" s="68">
        <f>VLOOKUP(UNG.[[#This Row],[CURSO]],'[1]POS_VIVO_0112 a 3101_CAMP. REG)'!$F$224:$I$331,4,FALSE)</f>
        <v>19</v>
      </c>
      <c r="BG31" s="73">
        <f>VLOOKUP(UNG.[[#This Row],[CURSO]],'[1]POS_VIVO_0112 a 3101_CAMP. REG)'!$F$224:$J$331,5,FALSE)</f>
        <v>291.43870800000002</v>
      </c>
      <c r="BH31" s="72">
        <f>VLOOKUP(UNG.[[#This Row],[CURSO]],'[1]POS_VIVO_0112 a 3101_CAMP. REG)'!$F$224:$L$331,7,FALSE)</f>
        <v>0.4</v>
      </c>
      <c r="BI31" s="73">
        <f>VLOOKUP(UNG.[[#This Row],[CURSO]],'[1]POS_VIVO_0112 a 3101_CAMP. REG)'!$F$224:$M$331,8,FALSE)</f>
        <v>157.38</v>
      </c>
      <c r="BJ31" s="72">
        <f>VLOOKUP(UNG.[[#This Row],[CURSO]],'[1]POS_VIVO_0112 a 3101_CAMP. REG)'!$F$224:$P$331,11,FALSE)</f>
        <v>0.45</v>
      </c>
      <c r="BK31" s="73">
        <f>VLOOKUP(UNG.[[#This Row],[CURSO]],'[1]POS_VIVO_0112 a 3101_CAMP. REG)'!$F$224:$Q$331,12,FALSE)</f>
        <v>144.26</v>
      </c>
      <c r="BL31" s="75">
        <f>UNG.[[#This Row],[Nº Parcelas]]</f>
        <v>19</v>
      </c>
      <c r="BM31" s="75">
        <f>UNG.[[#This Row],[Nº Parcelas normal2]]-1</f>
        <v>18</v>
      </c>
      <c r="BN31" s="73">
        <f>UNG.[[#This Row],[$ NORMAL]]</f>
        <v>291.43870800000002</v>
      </c>
      <c r="BO31" s="72">
        <f>UNG.[[#This Row],[%  SITE]]</f>
        <v>0.4</v>
      </c>
      <c r="BP31" s="73">
        <f>UNG.[[#This Row],[$ SITE]]</f>
        <v>157.38</v>
      </c>
      <c r="BQ31" s="72">
        <f>UNG.[[#This Row],[%  SGP]]</f>
        <v>0.45</v>
      </c>
      <c r="BR31" s="73">
        <f>UNG.[[#This Row],[$ SGP]]</f>
        <v>144.26</v>
      </c>
      <c r="BS31" s="69" t="s">
        <v>351</v>
      </c>
      <c r="BT31" s="69" t="s">
        <v>372</v>
      </c>
      <c r="BV31" s="121" t="s">
        <v>315</v>
      </c>
      <c r="BW31" s="69" t="s">
        <v>19</v>
      </c>
      <c r="BX31" s="69" t="str">
        <f>VLOOKUP(UNINASSAU.[[#This Row],[CURSO]],'[1]POS_VIVO_0112 a 3101_CAMP. REG)'!$F$333:$G$447,2,FALSE)</f>
        <v>Tecnologia/Engenharia</v>
      </c>
      <c r="BY31" s="68">
        <f>VLOOKUP(UNINASSAU.[[#This Row],[CURSO]],'[1]POS_VIVO_0112 a 3101_CAMP. REG)'!$F$333:$H$447,3,FALSE)</f>
        <v>12</v>
      </c>
      <c r="BZ31" s="68">
        <f>VLOOKUP(UNINASSAU.[[#This Row],[CURSO]],'[1]POS_VIVO_0112 a 3101_CAMP. REG)'!$F$333:$I$447,4,FALSE)</f>
        <v>19</v>
      </c>
      <c r="CA31" s="73">
        <f>VLOOKUP(UNINASSAU.[[#This Row],[CURSO]],'[1]POS_VIVO_0112 a 3101_CAMP. REG)'!$F$333:$J$447,5,FALSE)</f>
        <v>291.43870800000002</v>
      </c>
      <c r="CB31" s="72">
        <f>VLOOKUP(UNINASSAU.[[#This Row],[CURSO]],'[1]POS_VIVO_0112 a 3101_CAMP. REG)'!$F$333:$L$447,7,FALSE)</f>
        <v>0.4</v>
      </c>
      <c r="CC31" s="73">
        <f>VLOOKUP(UNINASSAU.[[#This Row],[CURSO]],'[1]POS_VIVO_0112 a 3101_CAMP. REG)'!$F$333:$M$447,8,FALSE)</f>
        <v>157.38</v>
      </c>
      <c r="CD31" s="72">
        <f>VLOOKUP(UNINASSAU.[[#This Row],[CURSO]],'[1]POS_VIVO_0112 a 3101_CAMP. REG)'!$F$333:$P$447,11,FALSE)</f>
        <v>0.45</v>
      </c>
      <c r="CE31" s="73">
        <f>VLOOKUP(UNINASSAU.[[#This Row],[CURSO]],'[1]POS_VIVO_0112 a 3101_CAMP. REG)'!$F$333:$Q$447,12,FALSE)</f>
        <v>144.26</v>
      </c>
      <c r="CF31" s="75">
        <f>UNINASSAU.[[#This Row],[Nº Parcelas]]</f>
        <v>19</v>
      </c>
      <c r="CG31" s="75">
        <f>UNINASSAU.[[#This Row],[Nº Parcelas normal2]]-1</f>
        <v>18</v>
      </c>
      <c r="CH31" s="73">
        <f>UNINASSAU.[[#This Row],[$ NORMAL]]</f>
        <v>291.43870800000002</v>
      </c>
      <c r="CI31" s="72">
        <f>UNINASSAU.[[#This Row],[%  SITE]]</f>
        <v>0.4</v>
      </c>
      <c r="CJ31" s="73">
        <f>UNINASSAU.[[#This Row],[$ SITE]]</f>
        <v>157.38</v>
      </c>
      <c r="CK31" s="72">
        <f>UNINASSAU.[[#This Row],[%  SGP]]</f>
        <v>0.45</v>
      </c>
      <c r="CL31" s="73">
        <f>UNINASSAU.[[#This Row],[$ SGP]]</f>
        <v>144.26</v>
      </c>
      <c r="CM31" s="69" t="s">
        <v>351</v>
      </c>
      <c r="CN31" s="69" t="s">
        <v>372</v>
      </c>
      <c r="CP31" s="104">
        <v>28</v>
      </c>
      <c r="CQ31" s="121" t="s">
        <v>287</v>
      </c>
    </row>
    <row r="32" spans="1:109" ht="16.5" customHeight="1" x14ac:dyDescent="0.25">
      <c r="N32" s="121" t="s">
        <v>267</v>
      </c>
      <c r="O32" s="69" t="s">
        <v>19</v>
      </c>
      <c r="P32" s="69" t="str">
        <f>VLOOKUP(UNIFAEL.[[#This Row],[CURSO]],'[1]POS_VIVO_0112 a 3101_CAMP. REG)'!$F$5:$G$113,2,FALSE)</f>
        <v>Saúde</v>
      </c>
      <c r="Q32" s="68">
        <f>VLOOKUP(UNIFAEL.[[#This Row],[CURSO]],'[1]POS_VIVO_0112 a 3101_CAMP. REG)'!$F$5:$H$113,3,FALSE)</f>
        <v>12</v>
      </c>
      <c r="R32" s="68">
        <f>VLOOKUP(UNIFAEL.[[#This Row],[CURSO]],'[1]POS_VIVO_0112 a 3101_CAMP. REG)'!$F$5:$I$113,4,FALSE)</f>
        <v>19</v>
      </c>
      <c r="S32" s="73">
        <f>VLOOKUP(UNIFAEL.[[#This Row],[CURSO]],'[1]POS_VIVO_0112 a 3101_CAMP. REG)'!$F$5:$J$113,5,FALSE)</f>
        <v>356.89800000000002</v>
      </c>
      <c r="T32" s="124">
        <f>VLOOKUP(UNIFAEL.[[#This Row],[CURSO]],'[1]POS_VIVO_0112 a 3101_CAMP. REG)'!$F$5:$L$113,7,FALSE)</f>
        <v>0.4</v>
      </c>
      <c r="U32" s="73">
        <f>VLOOKUP(UNIFAEL.[[#This Row],[CURSO]],'[1]POS_VIVO_0112 a 3101_CAMP. REG)'!$F$5:$M$113,8,FALSE)</f>
        <v>192.72</v>
      </c>
      <c r="V32" s="72">
        <f>VLOOKUP(UNIFAEL.[[#This Row],[CURSO]],'[1]POS_VIVO_0112 a 3101_CAMP. REG)'!$F$5:$P$113,11,FALSE)</f>
        <v>0.45</v>
      </c>
      <c r="W32" s="73">
        <f>VLOOKUP(UNIFAEL.[[#This Row],[CURSO]],'[1]POS_VIVO_0112 a 3101_CAMP. REG)'!$F$5:$Q$113,12,FALSE)</f>
        <v>176.66</v>
      </c>
      <c r="X32" s="75">
        <f>UNIFAEL.[[#This Row],[Nº Parcelas]]</f>
        <v>19</v>
      </c>
      <c r="Y32" s="75">
        <f>UNIFAEL.[[#This Row],[Nº Parcelas normal2]]-1</f>
        <v>18</v>
      </c>
      <c r="Z32" s="73">
        <f>UNIFAEL.[[#This Row],[$ NORMAL]]</f>
        <v>356.89800000000002</v>
      </c>
      <c r="AA32" s="72">
        <f>UNIFAEL.[[#This Row],[%  SITE]]</f>
        <v>0.4</v>
      </c>
      <c r="AB32" s="73">
        <f>UNIFAEL.[[#This Row],[$ SITE]]</f>
        <v>192.72</v>
      </c>
      <c r="AC32" s="72">
        <f>UNIFAEL.[[#This Row],[%  SGP]]</f>
        <v>0.45</v>
      </c>
      <c r="AD32" s="73">
        <f>UNIFAEL.[[#This Row],[$ SGP]]</f>
        <v>176.66</v>
      </c>
      <c r="AE32" s="69" t="s">
        <v>371</v>
      </c>
      <c r="AF32" s="69" t="s">
        <v>372</v>
      </c>
      <c r="AH32" s="121" t="s">
        <v>267</v>
      </c>
      <c r="AI32" s="69" t="s">
        <v>19</v>
      </c>
      <c r="AJ32" s="69" t="str">
        <f>VLOOKUP(UNAMA.[[#This Row],[PARCELA MATRICULA NÃO PAGA]],'[1]POS_VIVO_0112 a 3101_CAMP. REG)'!$F$115:$G$222,2,FALSE)</f>
        <v>Saúde</v>
      </c>
      <c r="AK32" s="69">
        <f>VLOOKUP(UNAMA.[[#This Row],[PARCELA MATRICULA NÃO PAGA]],'[1]POS_VIVO_0112 a 3101_CAMP. REG)'!$F$115:$H$222,3,FALSE)</f>
        <v>12</v>
      </c>
      <c r="AL32" s="69">
        <f>VLOOKUP(UNAMA.[[#This Row],[PARCELA MATRICULA NÃO PAGA]],'[1]POS_VIVO_0112 a 3101_CAMP. REG)'!$F$115:$I$222,4,FALSE)</f>
        <v>19</v>
      </c>
      <c r="AM32" s="73">
        <f>VLOOKUP(UNAMA.[[#This Row],[PARCELA MATRICULA NÃO PAGA]],'[1]POS_VIVO_0112 a 3101_CAMP. REG)'!$F$115:$J$222,5,FALSE)</f>
        <v>392.58780000000007</v>
      </c>
      <c r="AN32" s="123">
        <f>VLOOKUP(UNAMA.[[#This Row],[PARCELA MATRICULA NÃO PAGA]],'[1]POS_VIVO_0112 a 3101_CAMP. REG)'!$F$115:$L$222,7,FALSE)</f>
        <v>0.4</v>
      </c>
      <c r="AO32" s="73">
        <f>VLOOKUP(UNAMA.[[#This Row],[PARCELA MATRICULA NÃO PAGA]],'[1]POS_VIVO_0112 a 3101_CAMP. REG)'!$F$115:$M$222,8,FALSE)</f>
        <v>212</v>
      </c>
      <c r="AP32" s="72">
        <f>VLOOKUP(UNAMA.[[#This Row],[PARCELA MATRICULA NÃO PAGA]],'[1]POS_VIVO_0112 a 3101_CAMP. REG)'!$F$115:$P$222,11,FALSE)</f>
        <v>0.45</v>
      </c>
      <c r="AQ32" s="73">
        <f>VLOOKUP(UNAMA.[[#This Row],[PARCELA MATRICULA NÃO PAGA]],'[1]POS_VIVO_0112 a 3101_CAMP. REG)'!$F$115:$Q$222,12,FALSE)</f>
        <v>194.33</v>
      </c>
      <c r="AR32" s="68">
        <f>UNAMA.[[#This Row],[Nº Parcelas]]</f>
        <v>19</v>
      </c>
      <c r="AS32" s="68">
        <f>UNAMA.[[#This Row],[Nº Parcelas normal2]]-1</f>
        <v>18</v>
      </c>
      <c r="AT32" s="71">
        <f>UNAMA.[[#This Row],[$ NORMAL]]</f>
        <v>392.58780000000007</v>
      </c>
      <c r="AU32" s="162">
        <f>UNAMA.[[#This Row],[%  SITE]]</f>
        <v>0.4</v>
      </c>
      <c r="AV32" s="161">
        <f>UNAMA.[[#This Row],[$ SITE]]</f>
        <v>212</v>
      </c>
      <c r="AW32" s="162">
        <f>UNAMA.[[#This Row],[%  SGP]]</f>
        <v>0.45</v>
      </c>
      <c r="AX32" s="161">
        <f>UNAMA.[[#This Row],[$ SGP]]</f>
        <v>194.33</v>
      </c>
      <c r="AY32" s="69" t="s">
        <v>351</v>
      </c>
      <c r="AZ32" s="69" t="s">
        <v>372</v>
      </c>
      <c r="BB32" s="121" t="s">
        <v>267</v>
      </c>
      <c r="BC32" s="69" t="s">
        <v>19</v>
      </c>
      <c r="BD32" s="69" t="str">
        <f>VLOOKUP(UNG.[[#This Row],[CURSO]],'[1]POS_VIVO_0112 a 3101_CAMP. REG)'!$F$224:$G$331,2,FALSE)</f>
        <v>Saúde</v>
      </c>
      <c r="BE32" s="68">
        <f>VLOOKUP(UNG.[[#This Row],[CURSO]],'[1]POS_VIVO_0112 a 3101_CAMP. REG)'!$F$224:$H$331,3,FALSE)</f>
        <v>12</v>
      </c>
      <c r="BF32" s="68">
        <f>VLOOKUP(UNG.[[#This Row],[CURSO]],'[1]POS_VIVO_0112 a 3101_CAMP. REG)'!$F$224:$I$331,4,FALSE)</f>
        <v>19</v>
      </c>
      <c r="BG32" s="73">
        <f>VLOOKUP(UNG.[[#This Row],[CURSO]],'[1]POS_VIVO_0112 a 3101_CAMP. REG)'!$F$224:$J$331,5,FALSE)</f>
        <v>356.89800000000002</v>
      </c>
      <c r="BH32" s="72">
        <f>VLOOKUP(UNG.[[#This Row],[CURSO]],'[1]POS_VIVO_0112 a 3101_CAMP. REG)'!$F$224:$L$331,7,FALSE)</f>
        <v>0.4</v>
      </c>
      <c r="BI32" s="73">
        <f>VLOOKUP(UNG.[[#This Row],[CURSO]],'[1]POS_VIVO_0112 a 3101_CAMP. REG)'!$F$224:$M$331,8,FALSE)</f>
        <v>192.72</v>
      </c>
      <c r="BJ32" s="72">
        <f>VLOOKUP(UNG.[[#This Row],[CURSO]],'[1]POS_VIVO_0112 a 3101_CAMP. REG)'!$F$224:$P$331,11,FALSE)</f>
        <v>0.45</v>
      </c>
      <c r="BK32" s="73">
        <f>VLOOKUP(UNG.[[#This Row],[CURSO]],'[1]POS_VIVO_0112 a 3101_CAMP. REG)'!$F$224:$Q$331,12,FALSE)</f>
        <v>176.66</v>
      </c>
      <c r="BL32" s="75">
        <f>UNG.[[#This Row],[Nº Parcelas]]</f>
        <v>19</v>
      </c>
      <c r="BM32" s="75">
        <f>UNG.[[#This Row],[Nº Parcelas normal2]]-1</f>
        <v>18</v>
      </c>
      <c r="BN32" s="73">
        <f>UNG.[[#This Row],[$ NORMAL]]</f>
        <v>356.89800000000002</v>
      </c>
      <c r="BO32" s="72">
        <f>UNG.[[#This Row],[%  SITE]]</f>
        <v>0.4</v>
      </c>
      <c r="BP32" s="73">
        <f>UNG.[[#This Row],[$ SITE]]</f>
        <v>192.72</v>
      </c>
      <c r="BQ32" s="72">
        <f>UNG.[[#This Row],[%  SGP]]</f>
        <v>0.45</v>
      </c>
      <c r="BR32" s="73">
        <f>UNG.[[#This Row],[$ SGP]]</f>
        <v>176.66</v>
      </c>
      <c r="BS32" s="69" t="s">
        <v>351</v>
      </c>
      <c r="BT32" s="69" t="s">
        <v>372</v>
      </c>
      <c r="BV32" s="121" t="s">
        <v>267</v>
      </c>
      <c r="BW32" s="69" t="s">
        <v>19</v>
      </c>
      <c r="BX32" s="69" t="str">
        <f>VLOOKUP(UNINASSAU.[[#This Row],[CURSO]],'[1]POS_VIVO_0112 a 3101_CAMP. REG)'!$F$333:$G$447,2,FALSE)</f>
        <v>Saúde</v>
      </c>
      <c r="BY32" s="68">
        <f>VLOOKUP(UNINASSAU.[[#This Row],[CURSO]],'[1]POS_VIVO_0112 a 3101_CAMP. REG)'!$F$333:$H$447,3,FALSE)</f>
        <v>12</v>
      </c>
      <c r="BZ32" s="68">
        <f>VLOOKUP(UNINASSAU.[[#This Row],[CURSO]],'[1]POS_VIVO_0112 a 3101_CAMP. REG)'!$F$333:$I$447,4,FALSE)</f>
        <v>19</v>
      </c>
      <c r="CA32" s="73">
        <f>VLOOKUP(UNINASSAU.[[#This Row],[CURSO]],'[1]POS_VIVO_0112 a 3101_CAMP. REG)'!$F$333:$J$447,5,FALSE)</f>
        <v>356.89800000000002</v>
      </c>
      <c r="CB32" s="72">
        <f>VLOOKUP(UNINASSAU.[[#This Row],[CURSO]],'[1]POS_VIVO_0112 a 3101_CAMP. REG)'!$F$333:$L$447,7,FALSE)</f>
        <v>0.4</v>
      </c>
      <c r="CC32" s="73">
        <f>VLOOKUP(UNINASSAU.[[#This Row],[CURSO]],'[1]POS_VIVO_0112 a 3101_CAMP. REG)'!$F$333:$M$447,8,FALSE)</f>
        <v>192.72</v>
      </c>
      <c r="CD32" s="72">
        <f>VLOOKUP(UNINASSAU.[[#This Row],[CURSO]],'[1]POS_VIVO_0112 a 3101_CAMP. REG)'!$F$333:$P$447,11,FALSE)</f>
        <v>0.45</v>
      </c>
      <c r="CE32" s="73">
        <f>VLOOKUP(UNINASSAU.[[#This Row],[CURSO]],'[1]POS_VIVO_0112 a 3101_CAMP. REG)'!$F$333:$Q$447,12,FALSE)</f>
        <v>176.66</v>
      </c>
      <c r="CF32" s="75">
        <f>UNINASSAU.[[#This Row],[Nº Parcelas]]</f>
        <v>19</v>
      </c>
      <c r="CG32" s="75">
        <f>UNINASSAU.[[#This Row],[Nº Parcelas normal2]]-1</f>
        <v>18</v>
      </c>
      <c r="CH32" s="73">
        <f>UNINASSAU.[[#This Row],[$ NORMAL]]</f>
        <v>356.89800000000002</v>
      </c>
      <c r="CI32" s="72">
        <f>UNINASSAU.[[#This Row],[%  SITE]]</f>
        <v>0.4</v>
      </c>
      <c r="CJ32" s="73">
        <f>UNINASSAU.[[#This Row],[$ SITE]]</f>
        <v>192.72</v>
      </c>
      <c r="CK32" s="72">
        <f>UNINASSAU.[[#This Row],[%  SGP]]</f>
        <v>0.45</v>
      </c>
      <c r="CL32" s="73">
        <f>UNINASSAU.[[#This Row],[$ SGP]]</f>
        <v>176.66</v>
      </c>
      <c r="CM32" s="69" t="s">
        <v>351</v>
      </c>
      <c r="CN32" s="69" t="s">
        <v>372</v>
      </c>
      <c r="CP32" s="104">
        <v>29</v>
      </c>
      <c r="CQ32" s="121" t="s">
        <v>367</v>
      </c>
    </row>
    <row r="33" spans="14:95" ht="16.5" customHeight="1" x14ac:dyDescent="0.25">
      <c r="N33" s="121" t="s">
        <v>331</v>
      </c>
      <c r="O33" s="69" t="s">
        <v>19</v>
      </c>
      <c r="P33" s="69" t="str">
        <f>VLOOKUP(UNIFAEL.[[#This Row],[CURSO]],'[1]POS_VIVO_0112 a 3101_CAMP. REG)'!$F$5:$G$113,2,FALSE)</f>
        <v>Saúde</v>
      </c>
      <c r="Q33" s="68">
        <f>VLOOKUP(UNIFAEL.[[#This Row],[CURSO]],'[1]POS_VIVO_0112 a 3101_CAMP. REG)'!$F$5:$H$113,3,FALSE)</f>
        <v>12</v>
      </c>
      <c r="R33" s="68">
        <f>VLOOKUP(UNIFAEL.[[#This Row],[CURSO]],'[1]POS_VIVO_0112 a 3101_CAMP. REG)'!$F$5:$I$113,4,FALSE)</f>
        <v>19</v>
      </c>
      <c r="S33" s="73">
        <f>VLOOKUP(UNIFAEL.[[#This Row],[CURSO]],'[1]POS_VIVO_0112 a 3101_CAMP. REG)'!$F$5:$J$113,5,FALSE)</f>
        <v>409.38300000000004</v>
      </c>
      <c r="T33" s="124">
        <f>VLOOKUP(UNIFAEL.[[#This Row],[CURSO]],'[1]POS_VIVO_0112 a 3101_CAMP. REG)'!$F$5:$L$113,7,FALSE)</f>
        <v>0.4</v>
      </c>
      <c r="U33" s="73">
        <f>VLOOKUP(UNIFAEL.[[#This Row],[CURSO]],'[1]POS_VIVO_0112 a 3101_CAMP. REG)'!$F$5:$M$113,8,FALSE)</f>
        <v>221.07</v>
      </c>
      <c r="V33" s="72">
        <f>VLOOKUP(UNIFAEL.[[#This Row],[CURSO]],'[1]POS_VIVO_0112 a 3101_CAMP. REG)'!$F$5:$P$113,11,FALSE)</f>
        <v>0.45</v>
      </c>
      <c r="W33" s="73">
        <f>VLOOKUP(UNIFAEL.[[#This Row],[CURSO]],'[1]POS_VIVO_0112 a 3101_CAMP. REG)'!$F$5:$Q$113,12,FALSE)</f>
        <v>202.64</v>
      </c>
      <c r="X33" s="75">
        <f>UNIFAEL.[[#This Row],[Nº Parcelas]]</f>
        <v>19</v>
      </c>
      <c r="Y33" s="75">
        <f>UNIFAEL.[[#This Row],[Nº Parcelas normal2]]-1</f>
        <v>18</v>
      </c>
      <c r="Z33" s="73">
        <f>UNIFAEL.[[#This Row],[$ NORMAL]]</f>
        <v>409.38300000000004</v>
      </c>
      <c r="AA33" s="72">
        <f>UNIFAEL.[[#This Row],[%  SITE]]</f>
        <v>0.4</v>
      </c>
      <c r="AB33" s="73">
        <f>UNIFAEL.[[#This Row],[$ SITE]]</f>
        <v>221.07</v>
      </c>
      <c r="AC33" s="72">
        <f>UNIFAEL.[[#This Row],[%  SGP]]</f>
        <v>0.45</v>
      </c>
      <c r="AD33" s="73">
        <f>UNIFAEL.[[#This Row],[$ SGP]]</f>
        <v>202.64</v>
      </c>
      <c r="AE33" s="69" t="s">
        <v>371</v>
      </c>
      <c r="AF33" s="69" t="s">
        <v>372</v>
      </c>
      <c r="AH33" s="121" t="s">
        <v>331</v>
      </c>
      <c r="AI33" s="69" t="s">
        <v>19</v>
      </c>
      <c r="AJ33" s="69" t="str">
        <f>VLOOKUP(UNAMA.[[#This Row],[PARCELA MATRICULA NÃO PAGA]],'[1]POS_VIVO_0112 a 3101_CAMP. REG)'!$F$115:$G$222,2,FALSE)</f>
        <v>Saúde</v>
      </c>
      <c r="AK33" s="69">
        <f>VLOOKUP(UNAMA.[[#This Row],[PARCELA MATRICULA NÃO PAGA]],'[1]POS_VIVO_0112 a 3101_CAMP. REG)'!$F$115:$H$222,3,FALSE)</f>
        <v>12</v>
      </c>
      <c r="AL33" s="69">
        <f>VLOOKUP(UNAMA.[[#This Row],[PARCELA MATRICULA NÃO PAGA]],'[1]POS_VIVO_0112 a 3101_CAMP. REG)'!$F$115:$I$222,4,FALSE)</f>
        <v>19</v>
      </c>
      <c r="AM33" s="73">
        <f>VLOOKUP(UNAMA.[[#This Row],[PARCELA MATRICULA NÃO PAGA]],'[1]POS_VIVO_0112 a 3101_CAMP. REG)'!$F$115:$J$222,5,FALSE)</f>
        <v>450.32130000000006</v>
      </c>
      <c r="AN33" s="123">
        <f>VLOOKUP(UNAMA.[[#This Row],[PARCELA MATRICULA NÃO PAGA]],'[1]POS_VIVO_0112 a 3101_CAMP. REG)'!$F$115:$L$222,7,FALSE)</f>
        <v>0.4</v>
      </c>
      <c r="AO33" s="73">
        <f>VLOOKUP(UNAMA.[[#This Row],[PARCELA MATRICULA NÃO PAGA]],'[1]POS_VIVO_0112 a 3101_CAMP. REG)'!$F$115:$M$222,8,FALSE)</f>
        <v>243.17</v>
      </c>
      <c r="AP33" s="72">
        <f>VLOOKUP(UNAMA.[[#This Row],[PARCELA MATRICULA NÃO PAGA]],'[1]POS_VIVO_0112 a 3101_CAMP. REG)'!$F$115:$P$222,11,FALSE)</f>
        <v>0.45</v>
      </c>
      <c r="AQ33" s="73">
        <f>VLOOKUP(UNAMA.[[#This Row],[PARCELA MATRICULA NÃO PAGA]],'[1]POS_VIVO_0112 a 3101_CAMP. REG)'!$F$115:$Q$222,12,FALSE)</f>
        <v>222.91</v>
      </c>
      <c r="AR33" s="68">
        <f>UNAMA.[[#This Row],[Nº Parcelas]]</f>
        <v>19</v>
      </c>
      <c r="AS33" s="68">
        <f>UNAMA.[[#This Row],[Nº Parcelas normal2]]-1</f>
        <v>18</v>
      </c>
      <c r="AT33" s="71">
        <f>UNAMA.[[#This Row],[$ NORMAL]]</f>
        <v>450.32130000000006</v>
      </c>
      <c r="AU33" s="162">
        <f>UNAMA.[[#This Row],[%  SITE]]</f>
        <v>0.4</v>
      </c>
      <c r="AV33" s="161">
        <f>UNAMA.[[#This Row],[$ SITE]]</f>
        <v>243.17</v>
      </c>
      <c r="AW33" s="162">
        <f>UNAMA.[[#This Row],[%  SGP]]</f>
        <v>0.45</v>
      </c>
      <c r="AX33" s="161">
        <f>UNAMA.[[#This Row],[$ SGP]]</f>
        <v>222.91</v>
      </c>
      <c r="AY33" s="69" t="s">
        <v>351</v>
      </c>
      <c r="AZ33" s="69" t="s">
        <v>372</v>
      </c>
      <c r="BB33" s="121" t="s">
        <v>331</v>
      </c>
      <c r="BC33" s="69" t="s">
        <v>19</v>
      </c>
      <c r="BD33" s="69" t="str">
        <f>VLOOKUP(UNG.[[#This Row],[CURSO]],'[1]POS_VIVO_0112 a 3101_CAMP. REG)'!$F$224:$G$331,2,FALSE)</f>
        <v>Saúde</v>
      </c>
      <c r="BE33" s="68">
        <f>VLOOKUP(UNG.[[#This Row],[CURSO]],'[1]POS_VIVO_0112 a 3101_CAMP. REG)'!$F$224:$H$331,3,FALSE)</f>
        <v>12</v>
      </c>
      <c r="BF33" s="68">
        <f>VLOOKUP(UNG.[[#This Row],[CURSO]],'[1]POS_VIVO_0112 a 3101_CAMP. REG)'!$F$224:$I$331,4,FALSE)</f>
        <v>19</v>
      </c>
      <c r="BG33" s="73">
        <f>VLOOKUP(UNG.[[#This Row],[CURSO]],'[1]POS_VIVO_0112 a 3101_CAMP. REG)'!$F$224:$J$331,5,FALSE)</f>
        <v>409.38300000000004</v>
      </c>
      <c r="BH33" s="72">
        <f>VLOOKUP(UNG.[[#This Row],[CURSO]],'[1]POS_VIVO_0112 a 3101_CAMP. REG)'!$F$224:$L$331,7,FALSE)</f>
        <v>0.4</v>
      </c>
      <c r="BI33" s="73">
        <f>VLOOKUP(UNG.[[#This Row],[CURSO]],'[1]POS_VIVO_0112 a 3101_CAMP. REG)'!$F$224:$M$331,8,FALSE)</f>
        <v>221.07</v>
      </c>
      <c r="BJ33" s="72">
        <f>VLOOKUP(UNG.[[#This Row],[CURSO]],'[1]POS_VIVO_0112 a 3101_CAMP. REG)'!$F$224:$P$331,11,FALSE)</f>
        <v>0.45</v>
      </c>
      <c r="BK33" s="73">
        <f>VLOOKUP(UNG.[[#This Row],[CURSO]],'[1]POS_VIVO_0112 a 3101_CAMP. REG)'!$F$224:$Q$331,12,FALSE)</f>
        <v>202.64</v>
      </c>
      <c r="BL33" s="75">
        <f>UNG.[[#This Row],[Nº Parcelas]]</f>
        <v>19</v>
      </c>
      <c r="BM33" s="75">
        <f>UNG.[[#This Row],[Nº Parcelas normal2]]-1</f>
        <v>18</v>
      </c>
      <c r="BN33" s="73">
        <f>UNG.[[#This Row],[$ NORMAL]]</f>
        <v>409.38300000000004</v>
      </c>
      <c r="BO33" s="72">
        <f>UNG.[[#This Row],[%  SITE]]</f>
        <v>0.4</v>
      </c>
      <c r="BP33" s="73">
        <f>UNG.[[#This Row],[$ SITE]]</f>
        <v>221.07</v>
      </c>
      <c r="BQ33" s="72">
        <f>UNG.[[#This Row],[%  SGP]]</f>
        <v>0.45</v>
      </c>
      <c r="BR33" s="73">
        <f>UNG.[[#This Row],[$ SGP]]</f>
        <v>202.64</v>
      </c>
      <c r="BS33" s="69" t="s">
        <v>351</v>
      </c>
      <c r="BT33" s="69" t="s">
        <v>372</v>
      </c>
      <c r="BV33" s="121" t="s">
        <v>331</v>
      </c>
      <c r="BW33" s="69" t="s">
        <v>19</v>
      </c>
      <c r="BX33" s="69" t="str">
        <f>VLOOKUP(UNINASSAU.[[#This Row],[CURSO]],'[1]POS_VIVO_0112 a 3101_CAMP. REG)'!$F$333:$G$447,2,FALSE)</f>
        <v>Saúde</v>
      </c>
      <c r="BY33" s="68">
        <f>VLOOKUP(UNINASSAU.[[#This Row],[CURSO]],'[1]POS_VIVO_0112 a 3101_CAMP. REG)'!$F$333:$H$447,3,FALSE)</f>
        <v>12</v>
      </c>
      <c r="BZ33" s="68">
        <f>VLOOKUP(UNINASSAU.[[#This Row],[CURSO]],'[1]POS_VIVO_0112 a 3101_CAMP. REG)'!$F$333:$I$447,4,FALSE)</f>
        <v>19</v>
      </c>
      <c r="CA33" s="73">
        <f>VLOOKUP(UNINASSAU.[[#This Row],[CURSO]],'[1]POS_VIVO_0112 a 3101_CAMP. REG)'!$F$333:$J$447,5,FALSE)</f>
        <v>409.38300000000004</v>
      </c>
      <c r="CB33" s="72">
        <f>VLOOKUP(UNINASSAU.[[#This Row],[CURSO]],'[1]POS_VIVO_0112 a 3101_CAMP. REG)'!$F$333:$L$447,7,FALSE)</f>
        <v>0.4</v>
      </c>
      <c r="CC33" s="73">
        <f>VLOOKUP(UNINASSAU.[[#This Row],[CURSO]],'[1]POS_VIVO_0112 a 3101_CAMP. REG)'!$F$333:$M$447,8,FALSE)</f>
        <v>221.07</v>
      </c>
      <c r="CD33" s="72">
        <f>VLOOKUP(UNINASSAU.[[#This Row],[CURSO]],'[1]POS_VIVO_0112 a 3101_CAMP. REG)'!$F$333:$P$447,11,FALSE)</f>
        <v>0.45</v>
      </c>
      <c r="CE33" s="73">
        <f>VLOOKUP(UNINASSAU.[[#This Row],[CURSO]],'[1]POS_VIVO_0112 a 3101_CAMP. REG)'!$F$333:$Q$447,12,FALSE)</f>
        <v>202.64</v>
      </c>
      <c r="CF33" s="75">
        <f>UNINASSAU.[[#This Row],[Nº Parcelas]]</f>
        <v>19</v>
      </c>
      <c r="CG33" s="75">
        <f>UNINASSAU.[[#This Row],[Nº Parcelas normal2]]-1</f>
        <v>18</v>
      </c>
      <c r="CH33" s="73">
        <f>UNINASSAU.[[#This Row],[$ NORMAL]]</f>
        <v>409.38300000000004</v>
      </c>
      <c r="CI33" s="72">
        <f>UNINASSAU.[[#This Row],[%  SITE]]</f>
        <v>0.4</v>
      </c>
      <c r="CJ33" s="73">
        <f>UNINASSAU.[[#This Row],[$ SITE]]</f>
        <v>221.07</v>
      </c>
      <c r="CK33" s="72">
        <f>UNINASSAU.[[#This Row],[%  SGP]]</f>
        <v>0.45</v>
      </c>
      <c r="CL33" s="73">
        <f>UNINASSAU.[[#This Row],[$ SGP]]</f>
        <v>202.64</v>
      </c>
      <c r="CM33" s="69" t="s">
        <v>351</v>
      </c>
      <c r="CN33" s="69" t="s">
        <v>372</v>
      </c>
      <c r="CP33" s="104">
        <v>30</v>
      </c>
      <c r="CQ33" s="121" t="s">
        <v>82</v>
      </c>
    </row>
    <row r="34" spans="14:95" ht="16.5" customHeight="1" x14ac:dyDescent="0.25">
      <c r="N34" s="121" t="s">
        <v>257</v>
      </c>
      <c r="O34" s="69" t="s">
        <v>19</v>
      </c>
      <c r="P34" s="69" t="str">
        <f>VLOOKUP(UNIFAEL.[[#This Row],[CURSO]],'[1]POS_VIVO_0112 a 3101_CAMP. REG)'!$F$5:$G$113,2,FALSE)</f>
        <v>Saúde</v>
      </c>
      <c r="Q34" s="68">
        <f>VLOOKUP(UNIFAEL.[[#This Row],[CURSO]],'[1]POS_VIVO_0112 a 3101_CAMP. REG)'!$F$5:$H$113,3,FALSE)</f>
        <v>12</v>
      </c>
      <c r="R34" s="68">
        <f>VLOOKUP(UNIFAEL.[[#This Row],[CURSO]],'[1]POS_VIVO_0112 a 3101_CAMP. REG)'!$F$5:$I$113,4,FALSE)</f>
        <v>19</v>
      </c>
      <c r="S34" s="73">
        <f>VLOOKUP(UNIFAEL.[[#This Row],[CURSO]],'[1]POS_VIVO_0112 a 3101_CAMP. REG)'!$F$5:$J$113,5,FALSE)</f>
        <v>409.38300000000004</v>
      </c>
      <c r="T34" s="124">
        <f>VLOOKUP(UNIFAEL.[[#This Row],[CURSO]],'[1]POS_VIVO_0112 a 3101_CAMP. REG)'!$F$5:$L$113,7,FALSE)</f>
        <v>0.4</v>
      </c>
      <c r="U34" s="73">
        <f>VLOOKUP(UNIFAEL.[[#This Row],[CURSO]],'[1]POS_VIVO_0112 a 3101_CAMP. REG)'!$F$5:$M$113,8,FALSE)</f>
        <v>221.07</v>
      </c>
      <c r="V34" s="72">
        <f>VLOOKUP(UNIFAEL.[[#This Row],[CURSO]],'[1]POS_VIVO_0112 a 3101_CAMP. REG)'!$F$5:$P$113,11,FALSE)</f>
        <v>0.45</v>
      </c>
      <c r="W34" s="73">
        <f>VLOOKUP(UNIFAEL.[[#This Row],[CURSO]],'[1]POS_VIVO_0112 a 3101_CAMP. REG)'!$F$5:$Q$113,12,FALSE)</f>
        <v>202.64</v>
      </c>
      <c r="X34" s="75">
        <f>UNIFAEL.[[#This Row],[Nº Parcelas]]</f>
        <v>19</v>
      </c>
      <c r="Y34" s="75">
        <f>UNIFAEL.[[#This Row],[Nº Parcelas normal2]]-1</f>
        <v>18</v>
      </c>
      <c r="Z34" s="73">
        <f>UNIFAEL.[[#This Row],[$ NORMAL]]</f>
        <v>409.38300000000004</v>
      </c>
      <c r="AA34" s="72">
        <f>UNIFAEL.[[#This Row],[%  SITE]]</f>
        <v>0.4</v>
      </c>
      <c r="AB34" s="73">
        <f>UNIFAEL.[[#This Row],[$ SITE]]</f>
        <v>221.07</v>
      </c>
      <c r="AC34" s="72">
        <f>UNIFAEL.[[#This Row],[%  SGP]]</f>
        <v>0.45</v>
      </c>
      <c r="AD34" s="73">
        <f>UNIFAEL.[[#This Row],[$ SGP]]</f>
        <v>202.64</v>
      </c>
      <c r="AE34" s="69" t="s">
        <v>371</v>
      </c>
      <c r="AF34" s="69" t="s">
        <v>372</v>
      </c>
      <c r="AH34" s="121" t="s">
        <v>257</v>
      </c>
      <c r="AI34" s="69" t="s">
        <v>19</v>
      </c>
      <c r="AJ34" s="69" t="str">
        <f>VLOOKUP(UNAMA.[[#This Row],[PARCELA MATRICULA NÃO PAGA]],'[1]POS_VIVO_0112 a 3101_CAMP. REG)'!$F$115:$G$222,2,FALSE)</f>
        <v>Saúde</v>
      </c>
      <c r="AK34" s="69">
        <f>VLOOKUP(UNAMA.[[#This Row],[PARCELA MATRICULA NÃO PAGA]],'[1]POS_VIVO_0112 a 3101_CAMP. REG)'!$F$115:$H$222,3,FALSE)</f>
        <v>12</v>
      </c>
      <c r="AL34" s="69">
        <f>VLOOKUP(UNAMA.[[#This Row],[PARCELA MATRICULA NÃO PAGA]],'[1]POS_VIVO_0112 a 3101_CAMP. REG)'!$F$115:$I$222,4,FALSE)</f>
        <v>19</v>
      </c>
      <c r="AM34" s="73">
        <f>VLOOKUP(UNAMA.[[#This Row],[PARCELA MATRICULA NÃO PAGA]],'[1]POS_VIVO_0112 a 3101_CAMP. REG)'!$F$115:$J$222,5,FALSE)</f>
        <v>450.32130000000006</v>
      </c>
      <c r="AN34" s="123">
        <f>VLOOKUP(UNAMA.[[#This Row],[PARCELA MATRICULA NÃO PAGA]],'[1]POS_VIVO_0112 a 3101_CAMP. REG)'!$F$115:$L$222,7,FALSE)</f>
        <v>0.4</v>
      </c>
      <c r="AO34" s="73">
        <f>VLOOKUP(UNAMA.[[#This Row],[PARCELA MATRICULA NÃO PAGA]],'[1]POS_VIVO_0112 a 3101_CAMP. REG)'!$F$115:$M$222,8,FALSE)</f>
        <v>243.17</v>
      </c>
      <c r="AP34" s="72">
        <f>VLOOKUP(UNAMA.[[#This Row],[PARCELA MATRICULA NÃO PAGA]],'[1]POS_VIVO_0112 a 3101_CAMP. REG)'!$F$115:$P$222,11,FALSE)</f>
        <v>0.45</v>
      </c>
      <c r="AQ34" s="73">
        <f>VLOOKUP(UNAMA.[[#This Row],[PARCELA MATRICULA NÃO PAGA]],'[1]POS_VIVO_0112 a 3101_CAMP. REG)'!$F$115:$Q$222,12,FALSE)</f>
        <v>222.91</v>
      </c>
      <c r="AR34" s="68">
        <f>UNAMA.[[#This Row],[Nº Parcelas]]</f>
        <v>19</v>
      </c>
      <c r="AS34" s="68">
        <f>UNAMA.[[#This Row],[Nº Parcelas normal2]]-1</f>
        <v>18</v>
      </c>
      <c r="AT34" s="71">
        <f>UNAMA.[[#This Row],[$ NORMAL]]</f>
        <v>450.32130000000006</v>
      </c>
      <c r="AU34" s="162">
        <f>UNAMA.[[#This Row],[%  SITE]]</f>
        <v>0.4</v>
      </c>
      <c r="AV34" s="161">
        <f>UNAMA.[[#This Row],[$ SITE]]</f>
        <v>243.17</v>
      </c>
      <c r="AW34" s="162">
        <f>UNAMA.[[#This Row],[%  SGP]]</f>
        <v>0.45</v>
      </c>
      <c r="AX34" s="161">
        <f>UNAMA.[[#This Row],[$ SGP]]</f>
        <v>222.91</v>
      </c>
      <c r="AY34" s="69" t="s">
        <v>351</v>
      </c>
      <c r="AZ34" s="69" t="s">
        <v>372</v>
      </c>
      <c r="BB34" s="121" t="s">
        <v>257</v>
      </c>
      <c r="BC34" s="69" t="s">
        <v>19</v>
      </c>
      <c r="BD34" s="69" t="str">
        <f>VLOOKUP(UNG.[[#This Row],[CURSO]],'[1]POS_VIVO_0112 a 3101_CAMP. REG)'!$F$224:$G$331,2,FALSE)</f>
        <v>Saúde</v>
      </c>
      <c r="BE34" s="68">
        <f>VLOOKUP(UNG.[[#This Row],[CURSO]],'[1]POS_VIVO_0112 a 3101_CAMP. REG)'!$F$224:$H$331,3,FALSE)</f>
        <v>12</v>
      </c>
      <c r="BF34" s="68">
        <f>VLOOKUP(UNG.[[#This Row],[CURSO]],'[1]POS_VIVO_0112 a 3101_CAMP. REG)'!$F$224:$I$331,4,FALSE)</f>
        <v>19</v>
      </c>
      <c r="BG34" s="73">
        <f>VLOOKUP(UNG.[[#This Row],[CURSO]],'[1]POS_VIVO_0112 a 3101_CAMP. REG)'!$F$224:$J$331,5,FALSE)</f>
        <v>409.38300000000004</v>
      </c>
      <c r="BH34" s="72">
        <f>VLOOKUP(UNG.[[#This Row],[CURSO]],'[1]POS_VIVO_0112 a 3101_CAMP. REG)'!$F$224:$L$331,7,FALSE)</f>
        <v>0.4</v>
      </c>
      <c r="BI34" s="73">
        <f>VLOOKUP(UNG.[[#This Row],[CURSO]],'[1]POS_VIVO_0112 a 3101_CAMP. REG)'!$F$224:$M$331,8,FALSE)</f>
        <v>221.07</v>
      </c>
      <c r="BJ34" s="72">
        <f>VLOOKUP(UNG.[[#This Row],[CURSO]],'[1]POS_VIVO_0112 a 3101_CAMP. REG)'!$F$224:$P$331,11,FALSE)</f>
        <v>0.45</v>
      </c>
      <c r="BK34" s="73">
        <f>VLOOKUP(UNG.[[#This Row],[CURSO]],'[1]POS_VIVO_0112 a 3101_CAMP. REG)'!$F$224:$Q$331,12,FALSE)</f>
        <v>202.64</v>
      </c>
      <c r="BL34" s="75">
        <f>UNG.[[#This Row],[Nº Parcelas]]</f>
        <v>19</v>
      </c>
      <c r="BM34" s="75">
        <f>UNG.[[#This Row],[Nº Parcelas normal2]]-1</f>
        <v>18</v>
      </c>
      <c r="BN34" s="73">
        <f>UNG.[[#This Row],[$ NORMAL]]</f>
        <v>409.38300000000004</v>
      </c>
      <c r="BO34" s="72">
        <f>UNG.[[#This Row],[%  SITE]]</f>
        <v>0.4</v>
      </c>
      <c r="BP34" s="73">
        <f>UNG.[[#This Row],[$ SITE]]</f>
        <v>221.07</v>
      </c>
      <c r="BQ34" s="72">
        <f>UNG.[[#This Row],[%  SGP]]</f>
        <v>0.45</v>
      </c>
      <c r="BR34" s="73">
        <f>UNG.[[#This Row],[$ SGP]]</f>
        <v>202.64</v>
      </c>
      <c r="BS34" s="69" t="s">
        <v>351</v>
      </c>
      <c r="BT34" s="69" t="s">
        <v>372</v>
      </c>
      <c r="BV34" s="121" t="s">
        <v>257</v>
      </c>
      <c r="BW34" s="69" t="s">
        <v>19</v>
      </c>
      <c r="BX34" s="69" t="str">
        <f>VLOOKUP(UNINASSAU.[[#This Row],[CURSO]],'[1]POS_VIVO_0112 a 3101_CAMP. REG)'!$F$333:$G$447,2,FALSE)</f>
        <v>Saúde</v>
      </c>
      <c r="BY34" s="68">
        <f>VLOOKUP(UNINASSAU.[[#This Row],[CURSO]],'[1]POS_VIVO_0112 a 3101_CAMP. REG)'!$F$333:$H$447,3,FALSE)</f>
        <v>12</v>
      </c>
      <c r="BZ34" s="68">
        <f>VLOOKUP(UNINASSAU.[[#This Row],[CURSO]],'[1]POS_VIVO_0112 a 3101_CAMP. REG)'!$F$333:$I$447,4,FALSE)</f>
        <v>19</v>
      </c>
      <c r="CA34" s="73">
        <f>VLOOKUP(UNINASSAU.[[#This Row],[CURSO]],'[1]POS_VIVO_0112 a 3101_CAMP. REG)'!$F$333:$J$447,5,FALSE)</f>
        <v>409.38300000000004</v>
      </c>
      <c r="CB34" s="72">
        <f>VLOOKUP(UNINASSAU.[[#This Row],[CURSO]],'[1]POS_VIVO_0112 a 3101_CAMP. REG)'!$F$333:$L$447,7,FALSE)</f>
        <v>0.4</v>
      </c>
      <c r="CC34" s="73">
        <f>VLOOKUP(UNINASSAU.[[#This Row],[CURSO]],'[1]POS_VIVO_0112 a 3101_CAMP. REG)'!$F$333:$M$447,8,FALSE)</f>
        <v>221.07</v>
      </c>
      <c r="CD34" s="72">
        <f>VLOOKUP(UNINASSAU.[[#This Row],[CURSO]],'[1]POS_VIVO_0112 a 3101_CAMP. REG)'!$F$333:$P$447,11,FALSE)</f>
        <v>0.45</v>
      </c>
      <c r="CE34" s="73">
        <f>VLOOKUP(UNINASSAU.[[#This Row],[CURSO]],'[1]POS_VIVO_0112 a 3101_CAMP. REG)'!$F$333:$Q$447,12,FALSE)</f>
        <v>202.64</v>
      </c>
      <c r="CF34" s="75">
        <f>UNINASSAU.[[#This Row],[Nº Parcelas]]</f>
        <v>19</v>
      </c>
      <c r="CG34" s="75">
        <f>UNINASSAU.[[#This Row],[Nº Parcelas normal2]]-1</f>
        <v>18</v>
      </c>
      <c r="CH34" s="73">
        <f>UNINASSAU.[[#This Row],[$ NORMAL]]</f>
        <v>409.38300000000004</v>
      </c>
      <c r="CI34" s="72">
        <f>UNINASSAU.[[#This Row],[%  SITE]]</f>
        <v>0.4</v>
      </c>
      <c r="CJ34" s="73">
        <f>UNINASSAU.[[#This Row],[$ SITE]]</f>
        <v>221.07</v>
      </c>
      <c r="CK34" s="72">
        <f>UNINASSAU.[[#This Row],[%  SGP]]</f>
        <v>0.45</v>
      </c>
      <c r="CL34" s="73">
        <f>UNINASSAU.[[#This Row],[$ SGP]]</f>
        <v>202.64</v>
      </c>
      <c r="CM34" s="69" t="s">
        <v>351</v>
      </c>
      <c r="CN34" s="69" t="s">
        <v>372</v>
      </c>
      <c r="CP34" s="104">
        <v>31</v>
      </c>
      <c r="CQ34" s="121" t="s">
        <v>366</v>
      </c>
    </row>
    <row r="35" spans="14:95" ht="16.5" customHeight="1" x14ac:dyDescent="0.25">
      <c r="N35" s="121" t="s">
        <v>337</v>
      </c>
      <c r="O35" s="69" t="s">
        <v>19</v>
      </c>
      <c r="P35" s="69" t="str">
        <f>VLOOKUP(UNIFAEL.[[#This Row],[CURSO]],'[1]POS_VIVO_0112 a 3101_CAMP. REG)'!$F$5:$G$113,2,FALSE)</f>
        <v>Saúde</v>
      </c>
      <c r="Q35" s="68">
        <f>VLOOKUP(UNIFAEL.[[#This Row],[CURSO]],'[1]POS_VIVO_0112 a 3101_CAMP. REG)'!$F$5:$H$113,3,FALSE)</f>
        <v>12</v>
      </c>
      <c r="R35" s="68">
        <f>VLOOKUP(UNIFAEL.[[#This Row],[CURSO]],'[1]POS_VIVO_0112 a 3101_CAMP. REG)'!$F$5:$I$113,4,FALSE)</f>
        <v>19</v>
      </c>
      <c r="S35" s="73">
        <f>VLOOKUP(UNIFAEL.[[#This Row],[CURSO]],'[1]POS_VIVO_0112 a 3101_CAMP. REG)'!$F$5:$J$113,5,FALSE)</f>
        <v>356.89800000000002</v>
      </c>
      <c r="T35" s="124">
        <f>VLOOKUP(UNIFAEL.[[#This Row],[CURSO]],'[1]POS_VIVO_0112 a 3101_CAMP. REG)'!$F$5:$L$113,7,FALSE)</f>
        <v>0.4</v>
      </c>
      <c r="U35" s="73">
        <f>VLOOKUP(UNIFAEL.[[#This Row],[CURSO]],'[1]POS_VIVO_0112 a 3101_CAMP. REG)'!$F$5:$M$113,8,FALSE)</f>
        <v>192.72</v>
      </c>
      <c r="V35" s="72">
        <f>VLOOKUP(UNIFAEL.[[#This Row],[CURSO]],'[1]POS_VIVO_0112 a 3101_CAMP. REG)'!$F$5:$P$113,11,FALSE)</f>
        <v>0.45</v>
      </c>
      <c r="W35" s="73">
        <f>VLOOKUP(UNIFAEL.[[#This Row],[CURSO]],'[1]POS_VIVO_0112 a 3101_CAMP. REG)'!$F$5:$Q$113,12,FALSE)</f>
        <v>176.66</v>
      </c>
      <c r="X35" s="75">
        <f>UNIFAEL.[[#This Row],[Nº Parcelas]]</f>
        <v>19</v>
      </c>
      <c r="Y35" s="75">
        <f>UNIFAEL.[[#This Row],[Nº Parcelas normal2]]-1</f>
        <v>18</v>
      </c>
      <c r="Z35" s="73">
        <f>UNIFAEL.[[#This Row],[$ NORMAL]]</f>
        <v>356.89800000000002</v>
      </c>
      <c r="AA35" s="72">
        <f>UNIFAEL.[[#This Row],[%  SITE]]</f>
        <v>0.4</v>
      </c>
      <c r="AB35" s="73">
        <f>UNIFAEL.[[#This Row],[$ SITE]]</f>
        <v>192.72</v>
      </c>
      <c r="AC35" s="72">
        <f>UNIFAEL.[[#This Row],[%  SGP]]</f>
        <v>0.45</v>
      </c>
      <c r="AD35" s="73">
        <f>UNIFAEL.[[#This Row],[$ SGP]]</f>
        <v>176.66</v>
      </c>
      <c r="AE35" s="69" t="s">
        <v>371</v>
      </c>
      <c r="AF35" s="69" t="s">
        <v>372</v>
      </c>
      <c r="AH35" s="121" t="s">
        <v>337</v>
      </c>
      <c r="AI35" s="69" t="s">
        <v>19</v>
      </c>
      <c r="AJ35" s="69" t="str">
        <f>VLOOKUP(UNAMA.[[#This Row],[PARCELA MATRICULA NÃO PAGA]],'[1]POS_VIVO_0112 a 3101_CAMP. REG)'!$F$115:$G$222,2,FALSE)</f>
        <v>Saúde</v>
      </c>
      <c r="AK35" s="69">
        <f>VLOOKUP(UNAMA.[[#This Row],[PARCELA MATRICULA NÃO PAGA]],'[1]POS_VIVO_0112 a 3101_CAMP. REG)'!$F$115:$H$222,3,FALSE)</f>
        <v>12</v>
      </c>
      <c r="AL35" s="69">
        <f>VLOOKUP(UNAMA.[[#This Row],[PARCELA MATRICULA NÃO PAGA]],'[1]POS_VIVO_0112 a 3101_CAMP. REG)'!$F$115:$I$222,4,FALSE)</f>
        <v>19</v>
      </c>
      <c r="AM35" s="73">
        <f>VLOOKUP(UNAMA.[[#This Row],[PARCELA MATRICULA NÃO PAGA]],'[1]POS_VIVO_0112 a 3101_CAMP. REG)'!$F$115:$J$222,5,FALSE)</f>
        <v>392.58780000000007</v>
      </c>
      <c r="AN35" s="123">
        <f>VLOOKUP(UNAMA.[[#This Row],[PARCELA MATRICULA NÃO PAGA]],'[1]POS_VIVO_0112 a 3101_CAMP. REG)'!$F$115:$L$222,7,FALSE)</f>
        <v>0.4</v>
      </c>
      <c r="AO35" s="73">
        <f>VLOOKUP(UNAMA.[[#This Row],[PARCELA MATRICULA NÃO PAGA]],'[1]POS_VIVO_0112 a 3101_CAMP. REG)'!$F$115:$M$222,8,FALSE)</f>
        <v>212</v>
      </c>
      <c r="AP35" s="72">
        <f>VLOOKUP(UNAMA.[[#This Row],[PARCELA MATRICULA NÃO PAGA]],'[1]POS_VIVO_0112 a 3101_CAMP. REG)'!$F$115:$P$222,11,FALSE)</f>
        <v>0.45</v>
      </c>
      <c r="AQ35" s="73">
        <f>VLOOKUP(UNAMA.[[#This Row],[PARCELA MATRICULA NÃO PAGA]],'[1]POS_VIVO_0112 a 3101_CAMP. REG)'!$F$115:$Q$222,12,FALSE)</f>
        <v>194.33</v>
      </c>
      <c r="AR35" s="68">
        <f>UNAMA.[[#This Row],[Nº Parcelas]]</f>
        <v>19</v>
      </c>
      <c r="AS35" s="68">
        <f>UNAMA.[[#This Row],[Nº Parcelas normal2]]-1</f>
        <v>18</v>
      </c>
      <c r="AT35" s="71">
        <f>UNAMA.[[#This Row],[$ NORMAL]]</f>
        <v>392.58780000000007</v>
      </c>
      <c r="AU35" s="162">
        <f>UNAMA.[[#This Row],[%  SITE]]</f>
        <v>0.4</v>
      </c>
      <c r="AV35" s="161">
        <f>UNAMA.[[#This Row],[$ SITE]]</f>
        <v>212</v>
      </c>
      <c r="AW35" s="162">
        <f>UNAMA.[[#This Row],[%  SGP]]</f>
        <v>0.45</v>
      </c>
      <c r="AX35" s="161">
        <f>UNAMA.[[#This Row],[$ SGP]]</f>
        <v>194.33</v>
      </c>
      <c r="AY35" s="69" t="s">
        <v>351</v>
      </c>
      <c r="AZ35" s="69" t="s">
        <v>372</v>
      </c>
      <c r="BB35" s="121" t="s">
        <v>337</v>
      </c>
      <c r="BC35" s="69" t="s">
        <v>19</v>
      </c>
      <c r="BD35" s="69" t="str">
        <f>VLOOKUP(UNG.[[#This Row],[CURSO]],'[1]POS_VIVO_0112 a 3101_CAMP. REG)'!$F$224:$G$331,2,FALSE)</f>
        <v>Saúde</v>
      </c>
      <c r="BE35" s="68">
        <f>VLOOKUP(UNG.[[#This Row],[CURSO]],'[1]POS_VIVO_0112 a 3101_CAMP. REG)'!$F$224:$H$331,3,FALSE)</f>
        <v>12</v>
      </c>
      <c r="BF35" s="68">
        <f>VLOOKUP(UNG.[[#This Row],[CURSO]],'[1]POS_VIVO_0112 a 3101_CAMP. REG)'!$F$224:$I$331,4,FALSE)</f>
        <v>19</v>
      </c>
      <c r="BG35" s="73">
        <f>VLOOKUP(UNG.[[#This Row],[CURSO]],'[1]POS_VIVO_0112 a 3101_CAMP. REG)'!$F$224:$J$331,5,FALSE)</f>
        <v>356.89800000000002</v>
      </c>
      <c r="BH35" s="72">
        <f>VLOOKUP(UNG.[[#This Row],[CURSO]],'[1]POS_VIVO_0112 a 3101_CAMP. REG)'!$F$224:$L$331,7,FALSE)</f>
        <v>0.4</v>
      </c>
      <c r="BI35" s="73">
        <f>VLOOKUP(UNG.[[#This Row],[CURSO]],'[1]POS_VIVO_0112 a 3101_CAMP. REG)'!$F$224:$M$331,8,FALSE)</f>
        <v>192.72</v>
      </c>
      <c r="BJ35" s="72">
        <f>VLOOKUP(UNG.[[#This Row],[CURSO]],'[1]POS_VIVO_0112 a 3101_CAMP. REG)'!$F$224:$P$331,11,FALSE)</f>
        <v>0.45</v>
      </c>
      <c r="BK35" s="73">
        <f>VLOOKUP(UNG.[[#This Row],[CURSO]],'[1]POS_VIVO_0112 a 3101_CAMP. REG)'!$F$224:$Q$331,12,FALSE)</f>
        <v>176.66</v>
      </c>
      <c r="BL35" s="75">
        <f>UNG.[[#This Row],[Nº Parcelas]]</f>
        <v>19</v>
      </c>
      <c r="BM35" s="75">
        <f>UNG.[[#This Row],[Nº Parcelas normal2]]-1</f>
        <v>18</v>
      </c>
      <c r="BN35" s="73">
        <f>UNG.[[#This Row],[$ NORMAL]]</f>
        <v>356.89800000000002</v>
      </c>
      <c r="BO35" s="72">
        <f>UNG.[[#This Row],[%  SITE]]</f>
        <v>0.4</v>
      </c>
      <c r="BP35" s="73">
        <f>UNG.[[#This Row],[$ SITE]]</f>
        <v>192.72</v>
      </c>
      <c r="BQ35" s="72">
        <f>UNG.[[#This Row],[%  SGP]]</f>
        <v>0.45</v>
      </c>
      <c r="BR35" s="73">
        <f>UNG.[[#This Row],[$ SGP]]</f>
        <v>176.66</v>
      </c>
      <c r="BS35" s="69" t="s">
        <v>351</v>
      </c>
      <c r="BT35" s="69" t="s">
        <v>372</v>
      </c>
      <c r="BV35" s="121" t="s">
        <v>337</v>
      </c>
      <c r="BW35" s="69" t="s">
        <v>19</v>
      </c>
      <c r="BX35" s="69" t="str">
        <f>VLOOKUP(UNINASSAU.[[#This Row],[CURSO]],'[1]POS_VIVO_0112 a 3101_CAMP. REG)'!$F$333:$G$447,2,FALSE)</f>
        <v>Saúde</v>
      </c>
      <c r="BY35" s="68">
        <f>VLOOKUP(UNINASSAU.[[#This Row],[CURSO]],'[1]POS_VIVO_0112 a 3101_CAMP. REG)'!$F$333:$H$447,3,FALSE)</f>
        <v>12</v>
      </c>
      <c r="BZ35" s="68">
        <f>VLOOKUP(UNINASSAU.[[#This Row],[CURSO]],'[1]POS_VIVO_0112 a 3101_CAMP. REG)'!$F$333:$I$447,4,FALSE)</f>
        <v>19</v>
      </c>
      <c r="CA35" s="73">
        <f>VLOOKUP(UNINASSAU.[[#This Row],[CURSO]],'[1]POS_VIVO_0112 a 3101_CAMP. REG)'!$F$333:$J$447,5,FALSE)</f>
        <v>356.89800000000002</v>
      </c>
      <c r="CB35" s="72">
        <f>VLOOKUP(UNINASSAU.[[#This Row],[CURSO]],'[1]POS_VIVO_0112 a 3101_CAMP. REG)'!$F$333:$L$447,7,FALSE)</f>
        <v>0.4</v>
      </c>
      <c r="CC35" s="73">
        <f>VLOOKUP(UNINASSAU.[[#This Row],[CURSO]],'[1]POS_VIVO_0112 a 3101_CAMP. REG)'!$F$333:$M$447,8,FALSE)</f>
        <v>192.72</v>
      </c>
      <c r="CD35" s="72">
        <f>VLOOKUP(UNINASSAU.[[#This Row],[CURSO]],'[1]POS_VIVO_0112 a 3101_CAMP. REG)'!$F$333:$P$447,11,FALSE)</f>
        <v>0.45</v>
      </c>
      <c r="CE35" s="73">
        <f>VLOOKUP(UNINASSAU.[[#This Row],[CURSO]],'[1]POS_VIVO_0112 a 3101_CAMP. REG)'!$F$333:$Q$447,12,FALSE)</f>
        <v>176.66</v>
      </c>
      <c r="CF35" s="75">
        <f>UNINASSAU.[[#This Row],[Nº Parcelas]]</f>
        <v>19</v>
      </c>
      <c r="CG35" s="75">
        <f>UNINASSAU.[[#This Row],[Nº Parcelas normal2]]-1</f>
        <v>18</v>
      </c>
      <c r="CH35" s="73">
        <f>UNINASSAU.[[#This Row],[$ NORMAL]]</f>
        <v>356.89800000000002</v>
      </c>
      <c r="CI35" s="72">
        <f>UNINASSAU.[[#This Row],[%  SITE]]</f>
        <v>0.4</v>
      </c>
      <c r="CJ35" s="73">
        <f>UNINASSAU.[[#This Row],[$ SITE]]</f>
        <v>192.72</v>
      </c>
      <c r="CK35" s="72">
        <f>UNINASSAU.[[#This Row],[%  SGP]]</f>
        <v>0.45</v>
      </c>
      <c r="CL35" s="73">
        <f>UNINASSAU.[[#This Row],[$ SGP]]</f>
        <v>176.66</v>
      </c>
      <c r="CM35" s="69" t="s">
        <v>351</v>
      </c>
      <c r="CN35" s="69" t="s">
        <v>372</v>
      </c>
      <c r="CP35" s="104">
        <v>32</v>
      </c>
      <c r="CQ35" s="121" t="s">
        <v>84</v>
      </c>
    </row>
    <row r="36" spans="14:95" ht="16.5" customHeight="1" x14ac:dyDescent="0.25">
      <c r="N36" s="121" t="s">
        <v>287</v>
      </c>
      <c r="O36" s="69" t="s">
        <v>19</v>
      </c>
      <c r="P36" s="69" t="str">
        <f>VLOOKUP(UNIFAEL.[[#This Row],[CURSO]],'[1]POS_VIVO_0112 a 3101_CAMP. REG)'!$F$5:$G$113,2,FALSE)</f>
        <v>Educação</v>
      </c>
      <c r="Q36" s="68">
        <f>VLOOKUP(UNIFAEL.[[#This Row],[CURSO]],'[1]POS_VIVO_0112 a 3101_CAMP. REG)'!$F$5:$H$113,3,FALSE)</f>
        <v>12</v>
      </c>
      <c r="R36" s="68">
        <f>VLOOKUP(UNIFAEL.[[#This Row],[CURSO]],'[1]POS_VIVO_0112 a 3101_CAMP. REG)'!$F$5:$I$113,4,FALSE)</f>
        <v>19</v>
      </c>
      <c r="S36" s="73">
        <f>VLOOKUP(UNIFAEL.[[#This Row],[CURSO]],'[1]POS_VIVO_0112 a 3101_CAMP. REG)'!$F$5:$J$113,5,FALSE)</f>
        <v>367.39500000000004</v>
      </c>
      <c r="T36" s="124">
        <f>VLOOKUP(UNIFAEL.[[#This Row],[CURSO]],'[1]POS_VIVO_0112 a 3101_CAMP. REG)'!$F$5:$L$113,7,FALSE)</f>
        <v>0.4</v>
      </c>
      <c r="U36" s="73">
        <f>VLOOKUP(UNIFAEL.[[#This Row],[CURSO]],'[1]POS_VIVO_0112 a 3101_CAMP. REG)'!$F$5:$M$113,8,FALSE)</f>
        <v>198.39</v>
      </c>
      <c r="V36" s="72">
        <f>VLOOKUP(UNIFAEL.[[#This Row],[CURSO]],'[1]POS_VIVO_0112 a 3101_CAMP. REG)'!$F$5:$P$113,11,FALSE)</f>
        <v>0.45</v>
      </c>
      <c r="W36" s="112">
        <f>VLOOKUP(UNIFAEL.[[#This Row],[CURSO]],'[1]POS_VIVO_0112 a 3101_CAMP. REG)'!$F$5:$Q$113,12,FALSE)</f>
        <v>181.86</v>
      </c>
      <c r="X36" s="112">
        <f>UNIFAEL.[[#This Row],[Nº Parcelas]]</f>
        <v>19</v>
      </c>
      <c r="Y36" s="112">
        <f>UNIFAEL.[[#This Row],[Nº Parcelas normal2]]-1</f>
        <v>18</v>
      </c>
      <c r="Z36" s="73">
        <f>UNIFAEL.[[#This Row],[$ NORMAL]]</f>
        <v>367.39500000000004</v>
      </c>
      <c r="AA36" s="72">
        <f>UNIFAEL.[[#This Row],[%  SITE]]</f>
        <v>0.4</v>
      </c>
      <c r="AB36" s="73">
        <f>UNIFAEL.[[#This Row],[$ SITE]]</f>
        <v>198.39</v>
      </c>
      <c r="AC36" s="72">
        <f>UNIFAEL.[[#This Row],[%  SGP]]</f>
        <v>0.45</v>
      </c>
      <c r="AD36" s="73">
        <f>UNIFAEL.[[#This Row],[$ SGP]]</f>
        <v>181.86</v>
      </c>
      <c r="AE36" s="69" t="s">
        <v>371</v>
      </c>
      <c r="AF36" s="69" t="s">
        <v>372</v>
      </c>
      <c r="AH36" s="121" t="s">
        <v>287</v>
      </c>
      <c r="AI36" s="69" t="s">
        <v>19</v>
      </c>
      <c r="AJ36" s="69" t="str">
        <f>VLOOKUP(UNAMA.[[#This Row],[PARCELA MATRICULA NÃO PAGA]],'[1]POS_VIVO_0112 a 3101_CAMP. REG)'!$F$115:$G$222,2,FALSE)</f>
        <v>Educação</v>
      </c>
      <c r="AK36" s="69">
        <f>VLOOKUP(UNAMA.[[#This Row],[PARCELA MATRICULA NÃO PAGA]],'[1]POS_VIVO_0112 a 3101_CAMP. REG)'!$F$115:$H$222,3,FALSE)</f>
        <v>12</v>
      </c>
      <c r="AL36" s="69">
        <f>VLOOKUP(UNAMA.[[#This Row],[PARCELA MATRICULA NÃO PAGA]],'[1]POS_VIVO_0112 a 3101_CAMP. REG)'!$F$115:$I$222,4,FALSE)</f>
        <v>19</v>
      </c>
      <c r="AM36" s="73">
        <f>VLOOKUP(UNAMA.[[#This Row],[PARCELA MATRICULA NÃO PAGA]],'[1]POS_VIVO_0112 a 3101_CAMP. REG)'!$F$115:$J$222,5,FALSE)</f>
        <v>404.1345</v>
      </c>
      <c r="AN36" s="123">
        <f>VLOOKUP(UNAMA.[[#This Row],[PARCELA MATRICULA NÃO PAGA]],'[1]POS_VIVO_0112 a 3101_CAMP. REG)'!$F$115:$L$222,7,FALSE)</f>
        <v>0.4</v>
      </c>
      <c r="AO36" s="73">
        <f>VLOOKUP(UNAMA.[[#This Row],[PARCELA MATRICULA NÃO PAGA]],'[1]POS_VIVO_0112 a 3101_CAMP. REG)'!$F$115:$M$222,8,FALSE)</f>
        <v>218.23</v>
      </c>
      <c r="AP36" s="72">
        <f>VLOOKUP(UNAMA.[[#This Row],[PARCELA MATRICULA NÃO PAGA]],'[1]POS_VIVO_0112 a 3101_CAMP. REG)'!$F$115:$P$222,11,FALSE)</f>
        <v>0.45</v>
      </c>
      <c r="AQ36" s="73">
        <f>VLOOKUP(UNAMA.[[#This Row],[PARCELA MATRICULA NÃO PAGA]],'[1]POS_VIVO_0112 a 3101_CAMP. REG)'!$F$115:$Q$222,12,FALSE)</f>
        <v>200.05</v>
      </c>
      <c r="AR36" s="68">
        <f>UNAMA.[[#This Row],[Nº Parcelas]]</f>
        <v>19</v>
      </c>
      <c r="AS36" s="68">
        <f>UNAMA.[[#This Row],[Nº Parcelas normal2]]-1</f>
        <v>18</v>
      </c>
      <c r="AT36" s="71">
        <f>UNAMA.[[#This Row],[$ NORMAL]]</f>
        <v>404.1345</v>
      </c>
      <c r="AU36" s="162">
        <f>UNAMA.[[#This Row],[%  SITE]]</f>
        <v>0.4</v>
      </c>
      <c r="AV36" s="161">
        <f>UNAMA.[[#This Row],[$ SITE]]</f>
        <v>218.23</v>
      </c>
      <c r="AW36" s="162">
        <f>UNAMA.[[#This Row],[%  SGP]]</f>
        <v>0.45</v>
      </c>
      <c r="AX36" s="161">
        <f>UNAMA.[[#This Row],[$ SGP]]</f>
        <v>200.05</v>
      </c>
      <c r="AY36" s="69" t="s">
        <v>351</v>
      </c>
      <c r="AZ36" s="69" t="s">
        <v>372</v>
      </c>
      <c r="BB36" s="121" t="s">
        <v>287</v>
      </c>
      <c r="BC36" s="69" t="s">
        <v>19</v>
      </c>
      <c r="BD36" s="69" t="str">
        <f>VLOOKUP(UNG.[[#This Row],[CURSO]],'[1]POS_VIVO_0112 a 3101_CAMP. REG)'!$F$224:$G$331,2,FALSE)</f>
        <v>Educação</v>
      </c>
      <c r="BE36" s="68">
        <f>VLOOKUP(UNG.[[#This Row],[CURSO]],'[1]POS_VIVO_0112 a 3101_CAMP. REG)'!$F$224:$H$331,3,FALSE)</f>
        <v>12</v>
      </c>
      <c r="BF36" s="68">
        <f>VLOOKUP(UNG.[[#This Row],[CURSO]],'[1]POS_VIVO_0112 a 3101_CAMP. REG)'!$F$224:$I$331,4,FALSE)</f>
        <v>19</v>
      </c>
      <c r="BG36" s="73">
        <f>VLOOKUP(UNG.[[#This Row],[CURSO]],'[1]POS_VIVO_0112 a 3101_CAMP. REG)'!$F$224:$J$331,5,FALSE)</f>
        <v>367.39500000000004</v>
      </c>
      <c r="BH36" s="72">
        <f>VLOOKUP(UNG.[[#This Row],[CURSO]],'[1]POS_VIVO_0112 a 3101_CAMP. REG)'!$F$224:$L$331,7,FALSE)</f>
        <v>0.4</v>
      </c>
      <c r="BI36" s="73">
        <f>VLOOKUP(UNG.[[#This Row],[CURSO]],'[1]POS_VIVO_0112 a 3101_CAMP. REG)'!$F$224:$M$331,8,FALSE)</f>
        <v>198.39</v>
      </c>
      <c r="BJ36" s="72">
        <f>VLOOKUP(UNG.[[#This Row],[CURSO]],'[1]POS_VIVO_0112 a 3101_CAMP. REG)'!$F$224:$P$331,11,FALSE)</f>
        <v>0.45</v>
      </c>
      <c r="BK36" s="112">
        <f>VLOOKUP(UNG.[[#This Row],[CURSO]],'[1]POS_VIVO_0112 a 3101_CAMP. REG)'!$F$224:$Q$331,12,FALSE)</f>
        <v>181.86</v>
      </c>
      <c r="BL36" s="73">
        <f>UNG.[[#This Row],[Nº Parcelas]]</f>
        <v>19</v>
      </c>
      <c r="BM36" s="75">
        <f>UNG.[[#This Row],[Nº Parcelas normal2]]-1</f>
        <v>18</v>
      </c>
      <c r="BN36" s="73">
        <f>UNG.[[#This Row],[$ NORMAL]]</f>
        <v>367.39500000000004</v>
      </c>
      <c r="BO36" s="72">
        <f>UNG.[[#This Row],[%  SITE]]</f>
        <v>0.4</v>
      </c>
      <c r="BP36" s="73">
        <f>UNG.[[#This Row],[$ SITE]]</f>
        <v>198.39</v>
      </c>
      <c r="BQ36" s="72">
        <f>UNG.[[#This Row],[%  SGP]]</f>
        <v>0.45</v>
      </c>
      <c r="BR36" s="73">
        <f>UNG.[[#This Row],[$ SGP]]</f>
        <v>181.86</v>
      </c>
      <c r="BS36" s="69" t="s">
        <v>351</v>
      </c>
      <c r="BT36" s="69" t="s">
        <v>372</v>
      </c>
      <c r="BV36" s="121" t="s">
        <v>287</v>
      </c>
      <c r="BW36" s="69" t="s">
        <v>19</v>
      </c>
      <c r="BX36" s="69" t="str">
        <f>VLOOKUP(UNINASSAU.[[#This Row],[CURSO]],'[1]POS_VIVO_0112 a 3101_CAMP. REG)'!$F$333:$G$447,2,FALSE)</f>
        <v>Educação</v>
      </c>
      <c r="BY36" s="68">
        <f>VLOOKUP(UNINASSAU.[[#This Row],[CURSO]],'[1]POS_VIVO_0112 a 3101_CAMP. REG)'!$F$333:$H$447,3,FALSE)</f>
        <v>12</v>
      </c>
      <c r="BZ36" s="68">
        <f>VLOOKUP(UNINASSAU.[[#This Row],[CURSO]],'[1]POS_VIVO_0112 a 3101_CAMP. REG)'!$F$333:$I$447,4,FALSE)</f>
        <v>19</v>
      </c>
      <c r="CA36" s="73">
        <f>VLOOKUP(UNINASSAU.[[#This Row],[CURSO]],'[1]POS_VIVO_0112 a 3101_CAMP. REG)'!$F$333:$J$447,5,FALSE)</f>
        <v>367.39500000000004</v>
      </c>
      <c r="CB36" s="72">
        <f>VLOOKUP(UNINASSAU.[[#This Row],[CURSO]],'[1]POS_VIVO_0112 a 3101_CAMP. REG)'!$F$333:$L$447,7,FALSE)</f>
        <v>0.4</v>
      </c>
      <c r="CC36" s="73">
        <f>VLOOKUP(UNINASSAU.[[#This Row],[CURSO]],'[1]POS_VIVO_0112 a 3101_CAMP. REG)'!$F$333:$M$447,8,FALSE)</f>
        <v>198.39</v>
      </c>
      <c r="CD36" s="72">
        <f>VLOOKUP(UNINASSAU.[[#This Row],[CURSO]],'[1]POS_VIVO_0112 a 3101_CAMP. REG)'!$F$333:$P$447,11,FALSE)</f>
        <v>0.45</v>
      </c>
      <c r="CE36" s="112">
        <f>VLOOKUP(UNINASSAU.[[#This Row],[CURSO]],'[1]POS_VIVO_0112 a 3101_CAMP. REG)'!$F$333:$Q$447,12,FALSE)</f>
        <v>181.86</v>
      </c>
      <c r="CF36" s="112">
        <f>UNINASSAU.[[#This Row],[Nº Parcelas]]</f>
        <v>19</v>
      </c>
      <c r="CG36" s="112">
        <f>UNINASSAU.[[#This Row],[Nº Parcelas normal2]]-1</f>
        <v>18</v>
      </c>
      <c r="CH36" s="73">
        <f>UNINASSAU.[[#This Row],[$ NORMAL]]</f>
        <v>367.39500000000004</v>
      </c>
      <c r="CI36" s="72">
        <f>UNINASSAU.[[#This Row],[%  SITE]]</f>
        <v>0.4</v>
      </c>
      <c r="CJ36" s="73">
        <f>UNINASSAU.[[#This Row],[$ SITE]]</f>
        <v>198.39</v>
      </c>
      <c r="CK36" s="72">
        <f>UNINASSAU.[[#This Row],[%  SGP]]</f>
        <v>0.45</v>
      </c>
      <c r="CL36" s="73">
        <f>UNINASSAU.[[#This Row],[$ SGP]]</f>
        <v>181.86</v>
      </c>
      <c r="CM36" s="69" t="s">
        <v>351</v>
      </c>
      <c r="CN36" s="69" t="s">
        <v>372</v>
      </c>
      <c r="CP36" s="104">
        <v>33</v>
      </c>
      <c r="CQ36" s="121" t="s">
        <v>291</v>
      </c>
    </row>
    <row r="37" spans="14:95" ht="16.5" customHeight="1" x14ac:dyDescent="0.25">
      <c r="N37" s="121" t="s">
        <v>285</v>
      </c>
      <c r="O37" s="69" t="s">
        <v>19</v>
      </c>
      <c r="P37" s="69" t="str">
        <f>VLOOKUP(UNIFAEL.[[#This Row],[CURSO]],'[1]POS_VIVO_0112 a 3101_CAMP. REG)'!$F$5:$G$113,2,FALSE)</f>
        <v>Educação</v>
      </c>
      <c r="Q37" s="68">
        <f>VLOOKUP(UNIFAEL.[[#This Row],[CURSO]],'[1]POS_VIVO_0112 a 3101_CAMP. REG)'!$F$5:$H$113,3,FALSE)</f>
        <v>12</v>
      </c>
      <c r="R37" s="68">
        <f>VLOOKUP(UNIFAEL.[[#This Row],[CURSO]],'[1]POS_VIVO_0112 a 3101_CAMP. REG)'!$F$5:$I$113,4,FALSE)</f>
        <v>19</v>
      </c>
      <c r="S37" s="73">
        <f>VLOOKUP(UNIFAEL.[[#This Row],[CURSO]],'[1]POS_VIVO_0112 a 3101_CAMP. REG)'!$F$5:$J$113,5,FALSE)</f>
        <v>367.39500000000004</v>
      </c>
      <c r="T37" s="124">
        <f>VLOOKUP(UNIFAEL.[[#This Row],[CURSO]],'[1]POS_VIVO_0112 a 3101_CAMP. REG)'!$F$5:$L$113,7,FALSE)</f>
        <v>0.4</v>
      </c>
      <c r="U37" s="73">
        <f>VLOOKUP(UNIFAEL.[[#This Row],[CURSO]],'[1]POS_VIVO_0112 a 3101_CAMP. REG)'!$F$5:$M$113,8,FALSE)</f>
        <v>198.39</v>
      </c>
      <c r="V37" s="72">
        <f>VLOOKUP(UNIFAEL.[[#This Row],[CURSO]],'[1]POS_VIVO_0112 a 3101_CAMP. REG)'!$F$5:$P$113,11,FALSE)</f>
        <v>0.45</v>
      </c>
      <c r="W37" s="73">
        <f>VLOOKUP(UNIFAEL.[[#This Row],[CURSO]],'[1]POS_VIVO_0112 a 3101_CAMP. REG)'!$F$5:$Q$113,12,FALSE)</f>
        <v>181.86</v>
      </c>
      <c r="X37" s="75">
        <f>UNIFAEL.[[#This Row],[Nº Parcelas]]</f>
        <v>19</v>
      </c>
      <c r="Y37" s="75">
        <f>UNIFAEL.[[#This Row],[Nº Parcelas normal2]]-1</f>
        <v>18</v>
      </c>
      <c r="Z37" s="73">
        <f>UNIFAEL.[[#This Row],[$ NORMAL]]</f>
        <v>367.39500000000004</v>
      </c>
      <c r="AA37" s="72">
        <f>UNIFAEL.[[#This Row],[%  SITE]]</f>
        <v>0.4</v>
      </c>
      <c r="AB37" s="73">
        <f>UNIFAEL.[[#This Row],[$ SITE]]</f>
        <v>198.39</v>
      </c>
      <c r="AC37" s="72">
        <f>UNIFAEL.[[#This Row],[%  SGP]]</f>
        <v>0.45</v>
      </c>
      <c r="AD37" s="73">
        <f>UNIFAEL.[[#This Row],[$ SGP]]</f>
        <v>181.86</v>
      </c>
      <c r="AE37" s="69" t="s">
        <v>371</v>
      </c>
      <c r="AF37" s="69" t="s">
        <v>372</v>
      </c>
      <c r="AH37" s="121" t="s">
        <v>285</v>
      </c>
      <c r="AI37" s="69" t="s">
        <v>19</v>
      </c>
      <c r="AJ37" s="69" t="str">
        <f>VLOOKUP(UNAMA.[[#This Row],[PARCELA MATRICULA NÃO PAGA]],'[1]POS_VIVO_0112 a 3101_CAMP. REG)'!$F$115:$G$222,2,FALSE)</f>
        <v>Educação</v>
      </c>
      <c r="AK37" s="69">
        <f>VLOOKUP(UNAMA.[[#This Row],[PARCELA MATRICULA NÃO PAGA]],'[1]POS_VIVO_0112 a 3101_CAMP. REG)'!$F$115:$H$222,3,FALSE)</f>
        <v>12</v>
      </c>
      <c r="AL37" s="69">
        <f>VLOOKUP(UNAMA.[[#This Row],[PARCELA MATRICULA NÃO PAGA]],'[1]POS_VIVO_0112 a 3101_CAMP. REG)'!$F$115:$I$222,4,FALSE)</f>
        <v>19</v>
      </c>
      <c r="AM37" s="73">
        <f>VLOOKUP(UNAMA.[[#This Row],[PARCELA MATRICULA NÃO PAGA]],'[1]POS_VIVO_0112 a 3101_CAMP. REG)'!$F$115:$J$222,5,FALSE)</f>
        <v>404.1345</v>
      </c>
      <c r="AN37" s="123">
        <f>VLOOKUP(UNAMA.[[#This Row],[PARCELA MATRICULA NÃO PAGA]],'[1]POS_VIVO_0112 a 3101_CAMP. REG)'!$F$115:$L$222,7,FALSE)</f>
        <v>0.4</v>
      </c>
      <c r="AO37" s="73">
        <f>VLOOKUP(UNAMA.[[#This Row],[PARCELA MATRICULA NÃO PAGA]],'[1]POS_VIVO_0112 a 3101_CAMP. REG)'!$F$115:$M$222,8,FALSE)</f>
        <v>218.23</v>
      </c>
      <c r="AP37" s="72">
        <f>VLOOKUP(UNAMA.[[#This Row],[PARCELA MATRICULA NÃO PAGA]],'[1]POS_VIVO_0112 a 3101_CAMP. REG)'!$F$115:$P$222,11,FALSE)</f>
        <v>0.45</v>
      </c>
      <c r="AQ37" s="73">
        <f>VLOOKUP(UNAMA.[[#This Row],[PARCELA MATRICULA NÃO PAGA]],'[1]POS_VIVO_0112 a 3101_CAMP. REG)'!$F$115:$Q$222,12,FALSE)</f>
        <v>200.05</v>
      </c>
      <c r="AR37" s="68">
        <f>UNAMA.[[#This Row],[Nº Parcelas]]</f>
        <v>19</v>
      </c>
      <c r="AS37" s="68">
        <f>UNAMA.[[#This Row],[Nº Parcelas normal2]]-1</f>
        <v>18</v>
      </c>
      <c r="AT37" s="71">
        <f>UNAMA.[[#This Row],[$ NORMAL]]</f>
        <v>404.1345</v>
      </c>
      <c r="AU37" s="162">
        <f>UNAMA.[[#This Row],[%  SITE]]</f>
        <v>0.4</v>
      </c>
      <c r="AV37" s="161">
        <f>UNAMA.[[#This Row],[$ SITE]]</f>
        <v>218.23</v>
      </c>
      <c r="AW37" s="162">
        <f>UNAMA.[[#This Row],[%  SGP]]</f>
        <v>0.45</v>
      </c>
      <c r="AX37" s="161">
        <f>UNAMA.[[#This Row],[$ SGP]]</f>
        <v>200.05</v>
      </c>
      <c r="AY37" s="69" t="s">
        <v>351</v>
      </c>
      <c r="AZ37" s="69" t="s">
        <v>372</v>
      </c>
      <c r="BB37" s="121" t="s">
        <v>285</v>
      </c>
      <c r="BC37" s="69" t="s">
        <v>19</v>
      </c>
      <c r="BD37" s="69" t="str">
        <f>VLOOKUP(UNG.[[#This Row],[CURSO]],'[1]POS_VIVO_0112 a 3101_CAMP. REG)'!$F$224:$G$331,2,FALSE)</f>
        <v>Educação</v>
      </c>
      <c r="BE37" s="68">
        <f>VLOOKUP(UNG.[[#This Row],[CURSO]],'[1]POS_VIVO_0112 a 3101_CAMP. REG)'!$F$224:$H$331,3,FALSE)</f>
        <v>12</v>
      </c>
      <c r="BF37" s="68">
        <f>VLOOKUP(UNG.[[#This Row],[CURSO]],'[1]POS_VIVO_0112 a 3101_CAMP. REG)'!$F$224:$I$331,4,FALSE)</f>
        <v>19</v>
      </c>
      <c r="BG37" s="73">
        <f>VLOOKUP(UNG.[[#This Row],[CURSO]],'[1]POS_VIVO_0112 a 3101_CAMP. REG)'!$F$224:$J$331,5,FALSE)</f>
        <v>367.39500000000004</v>
      </c>
      <c r="BH37" s="72">
        <f>VLOOKUP(UNG.[[#This Row],[CURSO]],'[1]POS_VIVO_0112 a 3101_CAMP. REG)'!$F$224:$L$331,7,FALSE)</f>
        <v>0.4</v>
      </c>
      <c r="BI37" s="73">
        <f>VLOOKUP(UNG.[[#This Row],[CURSO]],'[1]POS_VIVO_0112 a 3101_CAMP. REG)'!$F$224:$M$331,8,FALSE)</f>
        <v>198.39</v>
      </c>
      <c r="BJ37" s="72">
        <f>VLOOKUP(UNG.[[#This Row],[CURSO]],'[1]POS_VIVO_0112 a 3101_CAMP. REG)'!$F$224:$P$331,11,FALSE)</f>
        <v>0.45</v>
      </c>
      <c r="BK37" s="73">
        <f>VLOOKUP(UNG.[[#This Row],[CURSO]],'[1]POS_VIVO_0112 a 3101_CAMP. REG)'!$F$224:$Q$331,12,FALSE)</f>
        <v>181.86</v>
      </c>
      <c r="BL37" s="75">
        <f>UNG.[[#This Row],[Nº Parcelas]]</f>
        <v>19</v>
      </c>
      <c r="BM37" s="75">
        <f>UNG.[[#This Row],[Nº Parcelas normal2]]-1</f>
        <v>18</v>
      </c>
      <c r="BN37" s="73">
        <f>UNG.[[#This Row],[$ NORMAL]]</f>
        <v>367.39500000000004</v>
      </c>
      <c r="BO37" s="72">
        <f>UNG.[[#This Row],[%  SITE]]</f>
        <v>0.4</v>
      </c>
      <c r="BP37" s="73">
        <f>UNG.[[#This Row],[$ SITE]]</f>
        <v>198.39</v>
      </c>
      <c r="BQ37" s="72">
        <f>UNG.[[#This Row],[%  SGP]]</f>
        <v>0.45</v>
      </c>
      <c r="BR37" s="73">
        <f>UNG.[[#This Row],[$ SGP]]</f>
        <v>181.86</v>
      </c>
      <c r="BS37" s="69" t="s">
        <v>351</v>
      </c>
      <c r="BT37" s="69" t="s">
        <v>372</v>
      </c>
      <c r="BV37" s="121" t="s">
        <v>285</v>
      </c>
      <c r="BW37" s="69" t="s">
        <v>19</v>
      </c>
      <c r="BX37" s="69" t="str">
        <f>VLOOKUP(UNINASSAU.[[#This Row],[CURSO]],'[1]POS_VIVO_0112 a 3101_CAMP. REG)'!$F$333:$G$447,2,FALSE)</f>
        <v>Educação</v>
      </c>
      <c r="BY37" s="68">
        <f>VLOOKUP(UNINASSAU.[[#This Row],[CURSO]],'[1]POS_VIVO_0112 a 3101_CAMP. REG)'!$F$333:$H$447,3,FALSE)</f>
        <v>12</v>
      </c>
      <c r="BZ37" s="68">
        <f>VLOOKUP(UNINASSAU.[[#This Row],[CURSO]],'[1]POS_VIVO_0112 a 3101_CAMP. REG)'!$F$333:$I$447,4,FALSE)</f>
        <v>19</v>
      </c>
      <c r="CA37" s="73">
        <f>VLOOKUP(UNINASSAU.[[#This Row],[CURSO]],'[1]POS_VIVO_0112 a 3101_CAMP. REG)'!$F$333:$J$447,5,FALSE)</f>
        <v>367.39500000000004</v>
      </c>
      <c r="CB37" s="72">
        <f>VLOOKUP(UNINASSAU.[[#This Row],[CURSO]],'[1]POS_VIVO_0112 a 3101_CAMP. REG)'!$F$333:$L$447,7,FALSE)</f>
        <v>0.4</v>
      </c>
      <c r="CC37" s="73">
        <f>VLOOKUP(UNINASSAU.[[#This Row],[CURSO]],'[1]POS_VIVO_0112 a 3101_CAMP. REG)'!$F$333:$M$447,8,FALSE)</f>
        <v>198.39</v>
      </c>
      <c r="CD37" s="72">
        <f>VLOOKUP(UNINASSAU.[[#This Row],[CURSO]],'[1]POS_VIVO_0112 a 3101_CAMP. REG)'!$F$333:$P$447,11,FALSE)</f>
        <v>0.45</v>
      </c>
      <c r="CE37" s="73">
        <f>VLOOKUP(UNINASSAU.[[#This Row],[CURSO]],'[1]POS_VIVO_0112 a 3101_CAMP. REG)'!$F$333:$Q$447,12,FALSE)</f>
        <v>181.86</v>
      </c>
      <c r="CF37" s="75">
        <f>UNINASSAU.[[#This Row],[Nº Parcelas]]</f>
        <v>19</v>
      </c>
      <c r="CG37" s="75">
        <f>UNINASSAU.[[#This Row],[Nº Parcelas normal2]]-1</f>
        <v>18</v>
      </c>
      <c r="CH37" s="73">
        <f>UNINASSAU.[[#This Row],[$ NORMAL]]</f>
        <v>367.39500000000004</v>
      </c>
      <c r="CI37" s="72">
        <f>UNINASSAU.[[#This Row],[%  SITE]]</f>
        <v>0.4</v>
      </c>
      <c r="CJ37" s="73">
        <f>UNINASSAU.[[#This Row],[$ SITE]]</f>
        <v>198.39</v>
      </c>
      <c r="CK37" s="72">
        <f>UNINASSAU.[[#This Row],[%  SGP]]</f>
        <v>0.45</v>
      </c>
      <c r="CL37" s="73">
        <f>UNINASSAU.[[#This Row],[$ SGP]]</f>
        <v>181.86</v>
      </c>
      <c r="CM37" s="69" t="s">
        <v>351</v>
      </c>
      <c r="CN37" s="69" t="s">
        <v>372</v>
      </c>
      <c r="CP37" s="104">
        <v>34</v>
      </c>
      <c r="CQ37" s="121" t="s">
        <v>293</v>
      </c>
    </row>
    <row r="38" spans="14:95" ht="16.5" customHeight="1" x14ac:dyDescent="0.25">
      <c r="N38" s="121" t="s">
        <v>262</v>
      </c>
      <c r="O38" s="69" t="s">
        <v>19</v>
      </c>
      <c r="P38" s="69" t="str">
        <f>VLOOKUP(UNIFAEL.[[#This Row],[CURSO]],'[1]POS_VIVO_0112 a 3101_CAMP. REG)'!$F$5:$G$113,2,FALSE)</f>
        <v>Tecnologia/Engenharia</v>
      </c>
      <c r="Q38" s="68">
        <f>VLOOKUP(UNIFAEL.[[#This Row],[CURSO]],'[1]POS_VIVO_0112 a 3101_CAMP. REG)'!$F$5:$H$113,3,FALSE)</f>
        <v>12</v>
      </c>
      <c r="R38" s="68">
        <f>VLOOKUP(UNIFAEL.[[#This Row],[CURSO]],'[1]POS_VIVO_0112 a 3101_CAMP. REG)'!$F$5:$I$113,4,FALSE)</f>
        <v>19</v>
      </c>
      <c r="S38" s="73">
        <f>VLOOKUP(UNIFAEL.[[#This Row],[CURSO]],'[1]POS_VIVO_0112 a 3101_CAMP. REG)'!$F$5:$J$113,5,FALSE)</f>
        <v>440.87400000000002</v>
      </c>
      <c r="T38" s="124">
        <f>VLOOKUP(UNIFAEL.[[#This Row],[CURSO]],'[1]POS_VIVO_0112 a 3101_CAMP. REG)'!$F$5:$L$113,7,FALSE)</f>
        <v>0.4</v>
      </c>
      <c r="U38" s="73">
        <f>VLOOKUP(UNIFAEL.[[#This Row],[CURSO]],'[1]POS_VIVO_0112 a 3101_CAMP. REG)'!$F$5:$M$113,8,FALSE)</f>
        <v>238.07</v>
      </c>
      <c r="V38" s="72">
        <f>VLOOKUP(UNIFAEL.[[#This Row],[CURSO]],'[1]POS_VIVO_0112 a 3101_CAMP. REG)'!$F$5:$P$113,11,FALSE)</f>
        <v>0.45</v>
      </c>
      <c r="W38" s="73">
        <f>VLOOKUP(UNIFAEL.[[#This Row],[CURSO]],'[1]POS_VIVO_0112 a 3101_CAMP. REG)'!$F$5:$Q$113,12,FALSE)</f>
        <v>218.23</v>
      </c>
      <c r="X38" s="75">
        <f>UNIFAEL.[[#This Row],[Nº Parcelas]]</f>
        <v>19</v>
      </c>
      <c r="Y38" s="75">
        <f>UNIFAEL.[[#This Row],[Nº Parcelas normal2]]-1</f>
        <v>18</v>
      </c>
      <c r="Z38" s="73">
        <f>UNIFAEL.[[#This Row],[$ NORMAL]]</f>
        <v>440.87400000000002</v>
      </c>
      <c r="AA38" s="72">
        <f>UNIFAEL.[[#This Row],[%  SITE]]</f>
        <v>0.4</v>
      </c>
      <c r="AB38" s="73">
        <f>UNIFAEL.[[#This Row],[$ SITE]]</f>
        <v>238.07</v>
      </c>
      <c r="AC38" s="72">
        <f>UNIFAEL.[[#This Row],[%  SGP]]</f>
        <v>0.45</v>
      </c>
      <c r="AD38" s="73">
        <f>UNIFAEL.[[#This Row],[$ SGP]]</f>
        <v>218.23</v>
      </c>
      <c r="AE38" s="69" t="s">
        <v>371</v>
      </c>
      <c r="AF38" s="69" t="s">
        <v>372</v>
      </c>
      <c r="AH38" s="121" t="s">
        <v>262</v>
      </c>
      <c r="AI38" s="69" t="s">
        <v>19</v>
      </c>
      <c r="AJ38" s="69" t="str">
        <f>VLOOKUP(UNAMA.[[#This Row],[PARCELA MATRICULA NÃO PAGA]],'[1]POS_VIVO_0112 a 3101_CAMP. REG)'!$F$115:$G$222,2,FALSE)</f>
        <v>Tecnologia/Engenharia</v>
      </c>
      <c r="AK38" s="69">
        <f>VLOOKUP(UNAMA.[[#This Row],[PARCELA MATRICULA NÃO PAGA]],'[1]POS_VIVO_0112 a 3101_CAMP. REG)'!$F$115:$H$222,3,FALSE)</f>
        <v>12</v>
      </c>
      <c r="AL38" s="69">
        <f>VLOOKUP(UNAMA.[[#This Row],[PARCELA MATRICULA NÃO PAGA]],'[1]POS_VIVO_0112 a 3101_CAMP. REG)'!$F$115:$I$222,4,FALSE)</f>
        <v>19</v>
      </c>
      <c r="AM38" s="73">
        <f>VLOOKUP(UNAMA.[[#This Row],[PARCELA MATRICULA NÃO PAGA]],'[1]POS_VIVO_0112 a 3101_CAMP. REG)'!$F$115:$J$222,5,FALSE)</f>
        <v>484.96140000000008</v>
      </c>
      <c r="AN38" s="123">
        <f>VLOOKUP(UNAMA.[[#This Row],[PARCELA MATRICULA NÃO PAGA]],'[1]POS_VIVO_0112 a 3101_CAMP. REG)'!$F$115:$L$222,7,FALSE)</f>
        <v>0.4</v>
      </c>
      <c r="AO38" s="73">
        <f>VLOOKUP(UNAMA.[[#This Row],[PARCELA MATRICULA NÃO PAGA]],'[1]POS_VIVO_0112 a 3101_CAMP. REG)'!$F$115:$M$222,8,FALSE)</f>
        <v>261.88</v>
      </c>
      <c r="AP38" s="72">
        <f>VLOOKUP(UNAMA.[[#This Row],[PARCELA MATRICULA NÃO PAGA]],'[1]POS_VIVO_0112 a 3101_CAMP. REG)'!$F$115:$P$222,11,FALSE)</f>
        <v>0.45</v>
      </c>
      <c r="AQ38" s="73">
        <f>VLOOKUP(UNAMA.[[#This Row],[PARCELA MATRICULA NÃO PAGA]],'[1]POS_VIVO_0112 a 3101_CAMP. REG)'!$F$115:$Q$222,12,FALSE)</f>
        <v>240.06</v>
      </c>
      <c r="AR38" s="68">
        <f>UNAMA.[[#This Row],[Nº Parcelas]]</f>
        <v>19</v>
      </c>
      <c r="AS38" s="68">
        <f>UNAMA.[[#This Row],[Nº Parcelas normal2]]-1</f>
        <v>18</v>
      </c>
      <c r="AT38" s="71">
        <f>UNAMA.[[#This Row],[$ NORMAL]]</f>
        <v>484.96140000000008</v>
      </c>
      <c r="AU38" s="162">
        <f>UNAMA.[[#This Row],[%  SITE]]</f>
        <v>0.4</v>
      </c>
      <c r="AV38" s="161">
        <f>UNAMA.[[#This Row],[$ SITE]]</f>
        <v>261.88</v>
      </c>
      <c r="AW38" s="162">
        <f>UNAMA.[[#This Row],[%  SGP]]</f>
        <v>0.45</v>
      </c>
      <c r="AX38" s="161">
        <f>UNAMA.[[#This Row],[$ SGP]]</f>
        <v>240.06</v>
      </c>
      <c r="AY38" s="69" t="s">
        <v>351</v>
      </c>
      <c r="AZ38" s="69" t="s">
        <v>372</v>
      </c>
      <c r="BB38" s="121" t="s">
        <v>262</v>
      </c>
      <c r="BC38" s="69" t="s">
        <v>19</v>
      </c>
      <c r="BD38" s="69" t="str">
        <f>VLOOKUP(UNG.[[#This Row],[CURSO]],'[1]POS_VIVO_0112 a 3101_CAMP. REG)'!$F$224:$G$331,2,FALSE)</f>
        <v>Tecnologia/Engenharia</v>
      </c>
      <c r="BE38" s="68">
        <f>VLOOKUP(UNG.[[#This Row],[CURSO]],'[1]POS_VIVO_0112 a 3101_CAMP. REG)'!$F$224:$H$331,3,FALSE)</f>
        <v>12</v>
      </c>
      <c r="BF38" s="68">
        <f>VLOOKUP(UNG.[[#This Row],[CURSO]],'[1]POS_VIVO_0112 a 3101_CAMP. REG)'!$F$224:$I$331,4,FALSE)</f>
        <v>19</v>
      </c>
      <c r="BG38" s="73">
        <f>VLOOKUP(UNG.[[#This Row],[CURSO]],'[1]POS_VIVO_0112 a 3101_CAMP. REG)'!$F$224:$J$331,5,FALSE)</f>
        <v>440.87400000000002</v>
      </c>
      <c r="BH38" s="72">
        <f>VLOOKUP(UNG.[[#This Row],[CURSO]],'[1]POS_VIVO_0112 a 3101_CAMP. REG)'!$F$224:$L$331,7,FALSE)</f>
        <v>0.4</v>
      </c>
      <c r="BI38" s="73">
        <f>VLOOKUP(UNG.[[#This Row],[CURSO]],'[1]POS_VIVO_0112 a 3101_CAMP. REG)'!$F$224:$M$331,8,FALSE)</f>
        <v>238.07</v>
      </c>
      <c r="BJ38" s="72">
        <f>VLOOKUP(UNG.[[#This Row],[CURSO]],'[1]POS_VIVO_0112 a 3101_CAMP. REG)'!$F$224:$P$331,11,FALSE)</f>
        <v>0.45</v>
      </c>
      <c r="BK38" s="73">
        <f>VLOOKUP(UNG.[[#This Row],[CURSO]],'[1]POS_VIVO_0112 a 3101_CAMP. REG)'!$F$224:$Q$331,12,FALSE)</f>
        <v>218.23</v>
      </c>
      <c r="BL38" s="75">
        <f>UNG.[[#This Row],[Nº Parcelas]]</f>
        <v>19</v>
      </c>
      <c r="BM38" s="75">
        <f>UNG.[[#This Row],[Nº Parcelas normal2]]-1</f>
        <v>18</v>
      </c>
      <c r="BN38" s="73">
        <f>UNG.[[#This Row],[$ NORMAL]]</f>
        <v>440.87400000000002</v>
      </c>
      <c r="BO38" s="72">
        <f>UNG.[[#This Row],[%  SITE]]</f>
        <v>0.4</v>
      </c>
      <c r="BP38" s="73">
        <f>UNG.[[#This Row],[$ SITE]]</f>
        <v>238.07</v>
      </c>
      <c r="BQ38" s="72">
        <f>UNG.[[#This Row],[%  SGP]]</f>
        <v>0.45</v>
      </c>
      <c r="BR38" s="73">
        <f>UNG.[[#This Row],[$ SGP]]</f>
        <v>218.23</v>
      </c>
      <c r="BS38" s="69" t="s">
        <v>351</v>
      </c>
      <c r="BT38" s="69" t="s">
        <v>372</v>
      </c>
      <c r="BV38" s="121" t="s">
        <v>262</v>
      </c>
      <c r="BW38" s="69" t="s">
        <v>19</v>
      </c>
      <c r="BX38" s="69" t="str">
        <f>VLOOKUP(UNINASSAU.[[#This Row],[CURSO]],'[1]POS_VIVO_0112 a 3101_CAMP. REG)'!$F$333:$G$447,2,FALSE)</f>
        <v>Tecnologia/Engenharia</v>
      </c>
      <c r="BY38" s="68">
        <f>VLOOKUP(UNINASSAU.[[#This Row],[CURSO]],'[1]POS_VIVO_0112 a 3101_CAMP. REG)'!$F$333:$H$447,3,FALSE)</f>
        <v>12</v>
      </c>
      <c r="BZ38" s="68">
        <f>VLOOKUP(UNINASSAU.[[#This Row],[CURSO]],'[1]POS_VIVO_0112 a 3101_CAMP. REG)'!$F$333:$I$447,4,FALSE)</f>
        <v>19</v>
      </c>
      <c r="CA38" s="73">
        <f>VLOOKUP(UNINASSAU.[[#This Row],[CURSO]],'[1]POS_VIVO_0112 a 3101_CAMP. REG)'!$F$333:$J$447,5,FALSE)</f>
        <v>440.87400000000002</v>
      </c>
      <c r="CB38" s="72">
        <f>VLOOKUP(UNINASSAU.[[#This Row],[CURSO]],'[1]POS_VIVO_0112 a 3101_CAMP. REG)'!$F$333:$L$447,7,FALSE)</f>
        <v>0.4</v>
      </c>
      <c r="CC38" s="73">
        <f>VLOOKUP(UNINASSAU.[[#This Row],[CURSO]],'[1]POS_VIVO_0112 a 3101_CAMP. REG)'!$F$333:$M$447,8,FALSE)</f>
        <v>238.07</v>
      </c>
      <c r="CD38" s="72">
        <f>VLOOKUP(UNINASSAU.[[#This Row],[CURSO]],'[1]POS_VIVO_0112 a 3101_CAMP. REG)'!$F$333:$P$447,11,FALSE)</f>
        <v>0.45</v>
      </c>
      <c r="CE38" s="73">
        <f>VLOOKUP(UNINASSAU.[[#This Row],[CURSO]],'[1]POS_VIVO_0112 a 3101_CAMP. REG)'!$F$333:$Q$447,12,FALSE)</f>
        <v>218.23</v>
      </c>
      <c r="CF38" s="75">
        <f>UNINASSAU.[[#This Row],[Nº Parcelas]]</f>
        <v>19</v>
      </c>
      <c r="CG38" s="75">
        <f>UNINASSAU.[[#This Row],[Nº Parcelas normal2]]-1</f>
        <v>18</v>
      </c>
      <c r="CH38" s="73">
        <f>UNINASSAU.[[#This Row],[$ NORMAL]]</f>
        <v>440.87400000000002</v>
      </c>
      <c r="CI38" s="72">
        <f>UNINASSAU.[[#This Row],[%  SITE]]</f>
        <v>0.4</v>
      </c>
      <c r="CJ38" s="73">
        <f>UNINASSAU.[[#This Row],[$ SITE]]</f>
        <v>238.07</v>
      </c>
      <c r="CK38" s="72">
        <f>UNINASSAU.[[#This Row],[%  SGP]]</f>
        <v>0.45</v>
      </c>
      <c r="CL38" s="73">
        <f>UNINASSAU.[[#This Row],[$ SGP]]</f>
        <v>218.23</v>
      </c>
      <c r="CM38" s="69" t="s">
        <v>351</v>
      </c>
      <c r="CN38" s="69" t="s">
        <v>372</v>
      </c>
      <c r="CP38" s="104">
        <v>35</v>
      </c>
      <c r="CQ38" s="121" t="s">
        <v>269</v>
      </c>
    </row>
    <row r="39" spans="14:95" ht="16.5" customHeight="1" x14ac:dyDescent="0.25">
      <c r="N39" s="121" t="s">
        <v>339</v>
      </c>
      <c r="O39" s="69" t="s">
        <v>19</v>
      </c>
      <c r="P39" s="69" t="str">
        <f>VLOOKUP(UNIFAEL.[[#This Row],[CURSO]],'[1]POS_VIVO_0112 a 3101_CAMP. REG)'!$F$5:$G$113,2,FALSE)</f>
        <v>Gestão</v>
      </c>
      <c r="Q39" s="68">
        <f>VLOOKUP(UNIFAEL.[[#This Row],[CURSO]],'[1]POS_VIVO_0112 a 3101_CAMP. REG)'!$F$5:$H$113,3,FALSE)</f>
        <v>18</v>
      </c>
      <c r="R39" s="68">
        <f>VLOOKUP(UNIFAEL.[[#This Row],[CURSO]],'[1]POS_VIVO_0112 a 3101_CAMP. REG)'!$F$5:$I$113,4,FALSE)</f>
        <v>19</v>
      </c>
      <c r="S39" s="73">
        <f>VLOOKUP(UNIFAEL.[[#This Row],[CURSO]],'[1]POS_VIVO_0112 a 3101_CAMP. REG)'!$F$5:$J$113,5,FALSE)</f>
        <v>320.59937400000007</v>
      </c>
      <c r="T39" s="124">
        <f>VLOOKUP(UNIFAEL.[[#This Row],[CURSO]],'[1]POS_VIVO_0112 a 3101_CAMP. REG)'!$F$5:$L$113,7,FALSE)</f>
        <v>0.5</v>
      </c>
      <c r="U39" s="73">
        <f>VLOOKUP(UNIFAEL.[[#This Row],[CURSO]],'[1]POS_VIVO_0112 a 3101_CAMP. REG)'!$F$5:$M$113,8,FALSE)</f>
        <v>144.27000000000001</v>
      </c>
      <c r="V39" s="72">
        <f>VLOOKUP(UNIFAEL.[[#This Row],[CURSO]],'[1]POS_VIVO_0112 a 3101_CAMP. REG)'!$F$5:$P$113,11,FALSE)</f>
        <v>0.55000000000000004</v>
      </c>
      <c r="W39" s="73">
        <f>VLOOKUP(UNIFAEL.[[#This Row],[CURSO]],'[1]POS_VIVO_0112 a 3101_CAMP. REG)'!$F$5:$Q$113,12,FALSE)</f>
        <v>129.84</v>
      </c>
      <c r="X39" s="75">
        <f>UNIFAEL.[[#This Row],[Nº Parcelas]]</f>
        <v>19</v>
      </c>
      <c r="Y39" s="75">
        <f>UNIFAEL.[[#This Row],[Nº Parcelas normal2]]-1</f>
        <v>18</v>
      </c>
      <c r="Z39" s="73">
        <f>UNIFAEL.[[#This Row],[$ NORMAL]]</f>
        <v>320.59937400000007</v>
      </c>
      <c r="AA39" s="72">
        <f>UNIFAEL.[[#This Row],[%  SITE]]</f>
        <v>0.5</v>
      </c>
      <c r="AB39" s="73">
        <f>UNIFAEL.[[#This Row],[$ SITE]]</f>
        <v>144.27000000000001</v>
      </c>
      <c r="AC39" s="72">
        <f>UNIFAEL.[[#This Row],[%  SGP]]</f>
        <v>0.55000000000000004</v>
      </c>
      <c r="AD39" s="73">
        <f>UNIFAEL.[[#This Row],[$ SGP]]</f>
        <v>129.84</v>
      </c>
      <c r="AE39" s="69" t="s">
        <v>371</v>
      </c>
      <c r="AF39" s="69" t="s">
        <v>372</v>
      </c>
      <c r="AH39" s="121" t="s">
        <v>339</v>
      </c>
      <c r="AI39" s="69" t="s">
        <v>19</v>
      </c>
      <c r="AJ39" s="69" t="str">
        <f>VLOOKUP(UNAMA.[[#This Row],[PARCELA MATRICULA NÃO PAGA]],'[1]POS_VIVO_0112 a 3101_CAMP. REG)'!$F$115:$G$222,2,FALSE)</f>
        <v>Gestão</v>
      </c>
      <c r="AK39" s="69">
        <f>VLOOKUP(UNAMA.[[#This Row],[PARCELA MATRICULA NÃO PAGA]],'[1]POS_VIVO_0112 a 3101_CAMP. REG)'!$F$115:$H$222,3,FALSE)</f>
        <v>18</v>
      </c>
      <c r="AL39" s="69">
        <f>VLOOKUP(UNAMA.[[#This Row],[PARCELA MATRICULA NÃO PAGA]],'[1]POS_VIVO_0112 a 3101_CAMP. REG)'!$F$115:$I$222,4,FALSE)</f>
        <v>19</v>
      </c>
      <c r="AM39" s="73">
        <f>VLOOKUP(UNAMA.[[#This Row],[PARCELA MATRICULA NÃO PAGA]],'[1]POS_VIVO_0112 a 3101_CAMP. REG)'!$F$115:$J$222,5,FALSE)</f>
        <v>352.66770900000006</v>
      </c>
      <c r="AN39" s="123">
        <f>VLOOKUP(UNAMA.[[#This Row],[PARCELA MATRICULA NÃO PAGA]],'[1]POS_VIVO_0112 a 3101_CAMP. REG)'!$F$115:$L$222,7,FALSE)</f>
        <v>0.5</v>
      </c>
      <c r="AO39" s="73">
        <f>VLOOKUP(UNAMA.[[#This Row],[PARCELA MATRICULA NÃO PAGA]],'[1]POS_VIVO_0112 a 3101_CAMP. REG)'!$F$115:$M$222,8,FALSE)</f>
        <v>158.69999999999999</v>
      </c>
      <c r="AP39" s="72">
        <f>VLOOKUP(UNAMA.[[#This Row],[PARCELA MATRICULA NÃO PAGA]],'[1]POS_VIVO_0112 a 3101_CAMP. REG)'!$F$115:$P$222,11,FALSE)</f>
        <v>0.55000000000000004</v>
      </c>
      <c r="AQ39" s="73">
        <f>VLOOKUP(UNAMA.[[#This Row],[PARCELA MATRICULA NÃO PAGA]],'[1]POS_VIVO_0112 a 3101_CAMP. REG)'!$F$115:$Q$222,12,FALSE)</f>
        <v>142.83000000000001</v>
      </c>
      <c r="AR39" s="68">
        <f>UNAMA.[[#This Row],[Nº Parcelas]]</f>
        <v>19</v>
      </c>
      <c r="AS39" s="68">
        <f>UNAMA.[[#This Row],[Nº Parcelas normal2]]-1</f>
        <v>18</v>
      </c>
      <c r="AT39" s="71">
        <f>UNAMA.[[#This Row],[$ NORMAL]]</f>
        <v>352.66770900000006</v>
      </c>
      <c r="AU39" s="162">
        <f>UNAMA.[[#This Row],[%  SITE]]</f>
        <v>0.5</v>
      </c>
      <c r="AV39" s="161">
        <f>UNAMA.[[#This Row],[$ SITE]]</f>
        <v>158.69999999999999</v>
      </c>
      <c r="AW39" s="162">
        <f>UNAMA.[[#This Row],[%  SGP]]</f>
        <v>0.55000000000000004</v>
      </c>
      <c r="AX39" s="161">
        <f>UNAMA.[[#This Row],[$ SGP]]</f>
        <v>142.83000000000001</v>
      </c>
      <c r="AY39" s="69" t="s">
        <v>351</v>
      </c>
      <c r="AZ39" s="69" t="s">
        <v>372</v>
      </c>
      <c r="BB39" s="121" t="s">
        <v>339</v>
      </c>
      <c r="BC39" s="69" t="s">
        <v>19</v>
      </c>
      <c r="BD39" s="69" t="str">
        <f>VLOOKUP(UNG.[[#This Row],[CURSO]],'[1]POS_VIVO_0112 a 3101_CAMP. REG)'!$F$224:$G$331,2,FALSE)</f>
        <v>Gestão</v>
      </c>
      <c r="BE39" s="68">
        <f>VLOOKUP(UNG.[[#This Row],[CURSO]],'[1]POS_VIVO_0112 a 3101_CAMP. REG)'!$F$224:$H$331,3,FALSE)</f>
        <v>18</v>
      </c>
      <c r="BF39" s="68">
        <f>VLOOKUP(UNG.[[#This Row],[CURSO]],'[1]POS_VIVO_0112 a 3101_CAMP. REG)'!$F$224:$I$331,4,FALSE)</f>
        <v>19</v>
      </c>
      <c r="BG39" s="73">
        <f>VLOOKUP(UNG.[[#This Row],[CURSO]],'[1]POS_VIVO_0112 a 3101_CAMP. REG)'!$F$224:$J$331,5,FALSE)</f>
        <v>320.59937400000007</v>
      </c>
      <c r="BH39" s="72">
        <f>VLOOKUP(UNG.[[#This Row],[CURSO]],'[1]POS_VIVO_0112 a 3101_CAMP. REG)'!$F$224:$L$331,7,FALSE)</f>
        <v>0.5</v>
      </c>
      <c r="BI39" s="73">
        <f>VLOOKUP(UNG.[[#This Row],[CURSO]],'[1]POS_VIVO_0112 a 3101_CAMP. REG)'!$F$224:$M$331,8,FALSE)</f>
        <v>144.27000000000001</v>
      </c>
      <c r="BJ39" s="72">
        <f>VLOOKUP(UNG.[[#This Row],[CURSO]],'[1]POS_VIVO_0112 a 3101_CAMP. REG)'!$F$224:$P$331,11,FALSE)</f>
        <v>0.55000000000000004</v>
      </c>
      <c r="BK39" s="73">
        <f>VLOOKUP(UNG.[[#This Row],[CURSO]],'[1]POS_VIVO_0112 a 3101_CAMP. REG)'!$F$224:$Q$331,12,FALSE)</f>
        <v>129.84</v>
      </c>
      <c r="BL39" s="75">
        <f>UNG.[[#This Row],[Nº Parcelas]]</f>
        <v>19</v>
      </c>
      <c r="BM39" s="75">
        <f>UNG.[[#This Row],[Nº Parcelas normal2]]-1</f>
        <v>18</v>
      </c>
      <c r="BN39" s="73">
        <f>UNG.[[#This Row],[$ NORMAL]]</f>
        <v>320.59937400000007</v>
      </c>
      <c r="BO39" s="72">
        <f>UNG.[[#This Row],[%  SITE]]</f>
        <v>0.5</v>
      </c>
      <c r="BP39" s="73">
        <f>UNG.[[#This Row],[$ SITE]]</f>
        <v>144.27000000000001</v>
      </c>
      <c r="BQ39" s="72">
        <f>UNG.[[#This Row],[%  SGP]]</f>
        <v>0.55000000000000004</v>
      </c>
      <c r="BR39" s="73">
        <f>UNG.[[#This Row],[$ SGP]]</f>
        <v>129.84</v>
      </c>
      <c r="BS39" s="69" t="s">
        <v>351</v>
      </c>
      <c r="BT39" s="69" t="s">
        <v>372</v>
      </c>
      <c r="BV39" s="121" t="s">
        <v>339</v>
      </c>
      <c r="BW39" s="69" t="s">
        <v>19</v>
      </c>
      <c r="BX39" s="69" t="str">
        <f>VLOOKUP(UNINASSAU.[[#This Row],[CURSO]],'[1]POS_VIVO_0112 a 3101_CAMP. REG)'!$F$333:$G$447,2,FALSE)</f>
        <v>Gestão</v>
      </c>
      <c r="BY39" s="68">
        <f>VLOOKUP(UNINASSAU.[[#This Row],[CURSO]],'[1]POS_VIVO_0112 a 3101_CAMP. REG)'!$F$333:$H$447,3,FALSE)</f>
        <v>18</v>
      </c>
      <c r="BZ39" s="68">
        <f>VLOOKUP(UNINASSAU.[[#This Row],[CURSO]],'[1]POS_VIVO_0112 a 3101_CAMP. REG)'!$F$333:$I$447,4,FALSE)</f>
        <v>19</v>
      </c>
      <c r="CA39" s="73">
        <f>VLOOKUP(UNINASSAU.[[#This Row],[CURSO]],'[1]POS_VIVO_0112 a 3101_CAMP. REG)'!$F$333:$J$447,5,FALSE)</f>
        <v>320.59937400000007</v>
      </c>
      <c r="CB39" s="72">
        <f>VLOOKUP(UNINASSAU.[[#This Row],[CURSO]],'[1]POS_VIVO_0112 a 3101_CAMP. REG)'!$F$333:$L$447,7,FALSE)</f>
        <v>0.5</v>
      </c>
      <c r="CC39" s="73">
        <f>VLOOKUP(UNINASSAU.[[#This Row],[CURSO]],'[1]POS_VIVO_0112 a 3101_CAMP. REG)'!$F$333:$M$447,8,FALSE)</f>
        <v>144.27000000000001</v>
      </c>
      <c r="CD39" s="72">
        <f>VLOOKUP(UNINASSAU.[[#This Row],[CURSO]],'[1]POS_VIVO_0112 a 3101_CAMP. REG)'!$F$333:$P$447,11,FALSE)</f>
        <v>0.55000000000000004</v>
      </c>
      <c r="CE39" s="73">
        <f>VLOOKUP(UNINASSAU.[[#This Row],[CURSO]],'[1]POS_VIVO_0112 a 3101_CAMP. REG)'!$F$333:$Q$447,12,FALSE)</f>
        <v>129.84</v>
      </c>
      <c r="CF39" s="75">
        <f>UNINASSAU.[[#This Row],[Nº Parcelas]]</f>
        <v>19</v>
      </c>
      <c r="CG39" s="75">
        <f>UNINASSAU.[[#This Row],[Nº Parcelas normal2]]-1</f>
        <v>18</v>
      </c>
      <c r="CH39" s="73">
        <f>UNINASSAU.[[#This Row],[$ NORMAL]]</f>
        <v>320.59937400000007</v>
      </c>
      <c r="CI39" s="72">
        <f>UNINASSAU.[[#This Row],[%  SITE]]</f>
        <v>0.5</v>
      </c>
      <c r="CJ39" s="73">
        <f>UNINASSAU.[[#This Row],[$ SITE]]</f>
        <v>144.27000000000001</v>
      </c>
      <c r="CK39" s="72">
        <f>UNINASSAU.[[#This Row],[%  SGP]]</f>
        <v>0.55000000000000004</v>
      </c>
      <c r="CL39" s="73">
        <f>UNINASSAU.[[#This Row],[$ SGP]]</f>
        <v>129.84</v>
      </c>
      <c r="CM39" s="69" t="s">
        <v>351</v>
      </c>
      <c r="CN39" s="69" t="s">
        <v>372</v>
      </c>
      <c r="CP39" s="104">
        <v>36</v>
      </c>
      <c r="CQ39" s="121" t="s">
        <v>289</v>
      </c>
    </row>
    <row r="40" spans="14:95" ht="16.5" customHeight="1" x14ac:dyDescent="0.25">
      <c r="N40" s="121" t="s">
        <v>343</v>
      </c>
      <c r="O40" s="69" t="s">
        <v>19</v>
      </c>
      <c r="P40" s="69" t="str">
        <f>VLOOKUP(UNIFAEL.[[#This Row],[CURSO]],'[1]POS_VIVO_0112 a 3101_CAMP. REG)'!$F$5:$G$113,2,FALSE)</f>
        <v>Tecnologia/Engenharia</v>
      </c>
      <c r="Q40" s="68">
        <f>VLOOKUP(UNIFAEL.[[#This Row],[CURSO]],'[1]POS_VIVO_0112 a 3101_CAMP. REG)'!$F$5:$H$113,3,FALSE)</f>
        <v>15</v>
      </c>
      <c r="R40" s="68">
        <f>VLOOKUP(UNIFAEL.[[#This Row],[CURSO]],'[1]POS_VIVO_0112 a 3101_CAMP. REG)'!$F$5:$I$113,4,FALSE)</f>
        <v>19</v>
      </c>
      <c r="S40" s="73">
        <f>VLOOKUP(UNIFAEL.[[#This Row],[CURSO]],'[1]POS_VIVO_0112 a 3101_CAMP. REG)'!$F$5:$J$113,5,FALSE)</f>
        <v>320.59937400000007</v>
      </c>
      <c r="T40" s="124">
        <f>VLOOKUP(UNIFAEL.[[#This Row],[CURSO]],'[1]POS_VIVO_0112 a 3101_CAMP. REG)'!$F$5:$L$113,7,FALSE)</f>
        <v>0.4</v>
      </c>
      <c r="U40" s="73">
        <f>VLOOKUP(UNIFAEL.[[#This Row],[CURSO]],'[1]POS_VIVO_0112 a 3101_CAMP. REG)'!$F$5:$M$113,8,FALSE)</f>
        <v>173.12</v>
      </c>
      <c r="V40" s="72">
        <f>VLOOKUP(UNIFAEL.[[#This Row],[CURSO]],'[1]POS_VIVO_0112 a 3101_CAMP. REG)'!$F$5:$P$113,11,FALSE)</f>
        <v>0.45</v>
      </c>
      <c r="W40" s="73">
        <f>VLOOKUP(UNIFAEL.[[#This Row],[CURSO]],'[1]POS_VIVO_0112 a 3101_CAMP. REG)'!$F$5:$Q$113,12,FALSE)</f>
        <v>158.69999999999999</v>
      </c>
      <c r="X40" s="75">
        <f>UNIFAEL.[[#This Row],[Nº Parcelas]]</f>
        <v>19</v>
      </c>
      <c r="Y40" s="75">
        <f>UNIFAEL.[[#This Row],[Nº Parcelas normal2]]-1</f>
        <v>18</v>
      </c>
      <c r="Z40" s="73">
        <f>UNIFAEL.[[#This Row],[$ NORMAL]]</f>
        <v>320.59937400000007</v>
      </c>
      <c r="AA40" s="72">
        <f>UNIFAEL.[[#This Row],[%  SITE]]</f>
        <v>0.4</v>
      </c>
      <c r="AB40" s="73">
        <f>UNIFAEL.[[#This Row],[$ SITE]]</f>
        <v>173.12</v>
      </c>
      <c r="AC40" s="72">
        <f>UNIFAEL.[[#This Row],[%  SGP]]</f>
        <v>0.45</v>
      </c>
      <c r="AD40" s="73">
        <f>UNIFAEL.[[#This Row],[$ SGP]]</f>
        <v>158.69999999999999</v>
      </c>
      <c r="AE40" s="69" t="s">
        <v>371</v>
      </c>
      <c r="AF40" s="69" t="s">
        <v>372</v>
      </c>
      <c r="AH40" s="121" t="s">
        <v>343</v>
      </c>
      <c r="AI40" s="69" t="s">
        <v>19</v>
      </c>
      <c r="AJ40" s="69" t="str">
        <f>VLOOKUP(UNAMA.[[#This Row],[PARCELA MATRICULA NÃO PAGA]],'[1]POS_VIVO_0112 a 3101_CAMP. REG)'!$F$115:$G$222,2,FALSE)</f>
        <v>Tecnologia/Engenharia</v>
      </c>
      <c r="AK40" s="69">
        <f>VLOOKUP(UNAMA.[[#This Row],[PARCELA MATRICULA NÃO PAGA]],'[1]POS_VIVO_0112 a 3101_CAMP. REG)'!$F$115:$H$222,3,FALSE)</f>
        <v>15</v>
      </c>
      <c r="AL40" s="69">
        <f>VLOOKUP(UNAMA.[[#This Row],[PARCELA MATRICULA NÃO PAGA]],'[1]POS_VIVO_0112 a 3101_CAMP. REG)'!$F$115:$I$222,4,FALSE)</f>
        <v>19</v>
      </c>
      <c r="AM40" s="73">
        <f>VLOOKUP(UNAMA.[[#This Row],[PARCELA MATRICULA NÃO PAGA]],'[1]POS_VIVO_0112 a 3101_CAMP. REG)'!$F$115:$J$222,5,FALSE)</f>
        <v>352.66770900000006</v>
      </c>
      <c r="AN40" s="123">
        <f>VLOOKUP(UNAMA.[[#This Row],[PARCELA MATRICULA NÃO PAGA]],'[1]POS_VIVO_0112 a 3101_CAMP. REG)'!$F$115:$L$222,7,FALSE)</f>
        <v>0.4</v>
      </c>
      <c r="AO40" s="73">
        <f>VLOOKUP(UNAMA.[[#This Row],[PARCELA MATRICULA NÃO PAGA]],'[1]POS_VIVO_0112 a 3101_CAMP. REG)'!$F$115:$M$222,8,FALSE)</f>
        <v>190.44</v>
      </c>
      <c r="AP40" s="72">
        <f>VLOOKUP(UNAMA.[[#This Row],[PARCELA MATRICULA NÃO PAGA]],'[1]POS_VIVO_0112 a 3101_CAMP. REG)'!$F$115:$P$222,11,FALSE)</f>
        <v>0.45</v>
      </c>
      <c r="AQ40" s="73">
        <f>VLOOKUP(UNAMA.[[#This Row],[PARCELA MATRICULA NÃO PAGA]],'[1]POS_VIVO_0112 a 3101_CAMP. REG)'!$F$115:$Q$222,12,FALSE)</f>
        <v>174.57</v>
      </c>
      <c r="AR40" s="68">
        <f>UNAMA.[[#This Row],[Nº Parcelas]]</f>
        <v>19</v>
      </c>
      <c r="AS40" s="68">
        <f>UNAMA.[[#This Row],[Nº Parcelas normal2]]-1</f>
        <v>18</v>
      </c>
      <c r="AT40" s="71">
        <f>UNAMA.[[#This Row],[$ NORMAL]]</f>
        <v>352.66770900000006</v>
      </c>
      <c r="AU40" s="162">
        <f>UNAMA.[[#This Row],[%  SITE]]</f>
        <v>0.4</v>
      </c>
      <c r="AV40" s="161">
        <f>UNAMA.[[#This Row],[$ SITE]]</f>
        <v>190.44</v>
      </c>
      <c r="AW40" s="162">
        <f>UNAMA.[[#This Row],[%  SGP]]</f>
        <v>0.45</v>
      </c>
      <c r="AX40" s="161">
        <f>UNAMA.[[#This Row],[$ SGP]]</f>
        <v>174.57</v>
      </c>
      <c r="AY40" s="69" t="s">
        <v>351</v>
      </c>
      <c r="AZ40" s="69" t="s">
        <v>372</v>
      </c>
      <c r="BB40" s="121" t="s">
        <v>343</v>
      </c>
      <c r="BC40" s="69" t="s">
        <v>19</v>
      </c>
      <c r="BD40" s="69" t="str">
        <f>VLOOKUP(UNG.[[#This Row],[CURSO]],'[1]POS_VIVO_0112 a 3101_CAMP. REG)'!$F$224:$G$331,2,FALSE)</f>
        <v>Tecnologia/Engenharia</v>
      </c>
      <c r="BE40" s="68">
        <f>VLOOKUP(UNG.[[#This Row],[CURSO]],'[1]POS_VIVO_0112 a 3101_CAMP. REG)'!$F$224:$H$331,3,FALSE)</f>
        <v>15</v>
      </c>
      <c r="BF40" s="68">
        <f>VLOOKUP(UNG.[[#This Row],[CURSO]],'[1]POS_VIVO_0112 a 3101_CAMP. REG)'!$F$224:$I$331,4,FALSE)</f>
        <v>19</v>
      </c>
      <c r="BG40" s="73">
        <f>VLOOKUP(UNG.[[#This Row],[CURSO]],'[1]POS_VIVO_0112 a 3101_CAMP. REG)'!$F$224:$J$331,5,FALSE)</f>
        <v>320.59937400000007</v>
      </c>
      <c r="BH40" s="72">
        <f>VLOOKUP(UNG.[[#This Row],[CURSO]],'[1]POS_VIVO_0112 a 3101_CAMP. REG)'!$F$224:$L$331,7,FALSE)</f>
        <v>0.4</v>
      </c>
      <c r="BI40" s="73">
        <f>VLOOKUP(UNG.[[#This Row],[CURSO]],'[1]POS_VIVO_0112 a 3101_CAMP. REG)'!$F$224:$M$331,8,FALSE)</f>
        <v>173.12</v>
      </c>
      <c r="BJ40" s="72">
        <f>VLOOKUP(UNG.[[#This Row],[CURSO]],'[1]POS_VIVO_0112 a 3101_CAMP. REG)'!$F$224:$P$331,11,FALSE)</f>
        <v>0.45</v>
      </c>
      <c r="BK40" s="73">
        <f>VLOOKUP(UNG.[[#This Row],[CURSO]],'[1]POS_VIVO_0112 a 3101_CAMP. REG)'!$F$224:$Q$331,12,FALSE)</f>
        <v>158.69999999999999</v>
      </c>
      <c r="BL40" s="75">
        <f>UNG.[[#This Row],[Nº Parcelas]]</f>
        <v>19</v>
      </c>
      <c r="BM40" s="75">
        <f>UNG.[[#This Row],[Nº Parcelas normal2]]-1</f>
        <v>18</v>
      </c>
      <c r="BN40" s="73">
        <f>UNG.[[#This Row],[$ NORMAL]]</f>
        <v>320.59937400000007</v>
      </c>
      <c r="BO40" s="72">
        <f>UNG.[[#This Row],[%  SITE]]</f>
        <v>0.4</v>
      </c>
      <c r="BP40" s="73">
        <f>UNG.[[#This Row],[$ SITE]]</f>
        <v>173.12</v>
      </c>
      <c r="BQ40" s="72">
        <f>UNG.[[#This Row],[%  SGP]]</f>
        <v>0.45</v>
      </c>
      <c r="BR40" s="73">
        <f>UNG.[[#This Row],[$ SGP]]</f>
        <v>158.69999999999999</v>
      </c>
      <c r="BS40" s="69" t="s">
        <v>351</v>
      </c>
      <c r="BT40" s="69" t="s">
        <v>372</v>
      </c>
      <c r="BV40" s="121" t="s">
        <v>343</v>
      </c>
      <c r="BW40" s="69" t="s">
        <v>19</v>
      </c>
      <c r="BX40" s="69" t="str">
        <f>VLOOKUP(UNINASSAU.[[#This Row],[CURSO]],'[1]POS_VIVO_0112 a 3101_CAMP. REG)'!$F$333:$G$447,2,FALSE)</f>
        <v>Tecnologia/Engenharia</v>
      </c>
      <c r="BY40" s="68">
        <f>VLOOKUP(UNINASSAU.[[#This Row],[CURSO]],'[1]POS_VIVO_0112 a 3101_CAMP. REG)'!$F$333:$H$447,3,FALSE)</f>
        <v>15</v>
      </c>
      <c r="BZ40" s="68">
        <f>VLOOKUP(UNINASSAU.[[#This Row],[CURSO]],'[1]POS_VIVO_0112 a 3101_CAMP. REG)'!$F$333:$I$447,4,FALSE)</f>
        <v>19</v>
      </c>
      <c r="CA40" s="73">
        <f>VLOOKUP(UNINASSAU.[[#This Row],[CURSO]],'[1]POS_VIVO_0112 a 3101_CAMP. REG)'!$F$333:$J$447,5,FALSE)</f>
        <v>320.59937400000007</v>
      </c>
      <c r="CB40" s="72">
        <f>VLOOKUP(UNINASSAU.[[#This Row],[CURSO]],'[1]POS_VIVO_0112 a 3101_CAMP. REG)'!$F$333:$L$447,7,FALSE)</f>
        <v>0.4</v>
      </c>
      <c r="CC40" s="73">
        <f>VLOOKUP(UNINASSAU.[[#This Row],[CURSO]],'[1]POS_VIVO_0112 a 3101_CAMP. REG)'!$F$333:$M$447,8,FALSE)</f>
        <v>173.12</v>
      </c>
      <c r="CD40" s="72">
        <f>VLOOKUP(UNINASSAU.[[#This Row],[CURSO]],'[1]POS_VIVO_0112 a 3101_CAMP. REG)'!$F$333:$P$447,11,FALSE)</f>
        <v>0.45</v>
      </c>
      <c r="CE40" s="73">
        <f>VLOOKUP(UNINASSAU.[[#This Row],[CURSO]],'[1]POS_VIVO_0112 a 3101_CAMP. REG)'!$F$333:$Q$447,12,FALSE)</f>
        <v>158.69999999999999</v>
      </c>
      <c r="CF40" s="75">
        <f>UNINASSAU.[[#This Row],[Nº Parcelas]]</f>
        <v>19</v>
      </c>
      <c r="CG40" s="75">
        <f>UNINASSAU.[[#This Row],[Nº Parcelas normal2]]-1</f>
        <v>18</v>
      </c>
      <c r="CH40" s="73">
        <f>UNINASSAU.[[#This Row],[$ NORMAL]]</f>
        <v>320.59937400000007</v>
      </c>
      <c r="CI40" s="72">
        <f>UNINASSAU.[[#This Row],[%  SITE]]</f>
        <v>0.4</v>
      </c>
      <c r="CJ40" s="73">
        <f>UNINASSAU.[[#This Row],[$ SITE]]</f>
        <v>173.12</v>
      </c>
      <c r="CK40" s="72">
        <f>UNINASSAU.[[#This Row],[%  SGP]]</f>
        <v>0.45</v>
      </c>
      <c r="CL40" s="73">
        <f>UNINASSAU.[[#This Row],[$ SGP]]</f>
        <v>158.69999999999999</v>
      </c>
      <c r="CM40" s="69" t="s">
        <v>351</v>
      </c>
      <c r="CN40" s="69" t="s">
        <v>372</v>
      </c>
      <c r="CP40" s="104">
        <v>37</v>
      </c>
      <c r="CQ40" s="121" t="s">
        <v>297</v>
      </c>
    </row>
    <row r="41" spans="14:95" ht="16.5" customHeight="1" x14ac:dyDescent="0.25">
      <c r="N41" s="121" t="s">
        <v>345</v>
      </c>
      <c r="O41" s="69" t="s">
        <v>19</v>
      </c>
      <c r="P41" s="69" t="str">
        <f>VLOOKUP(UNIFAEL.[[#This Row],[CURSO]],'[1]POS_VIVO_0112 a 3101_CAMP. REG)'!$F$5:$G$113,2,FALSE)</f>
        <v>Direito</v>
      </c>
      <c r="Q41" s="68">
        <f>VLOOKUP(UNIFAEL.[[#This Row],[CURSO]],'[1]POS_VIVO_0112 a 3101_CAMP. REG)'!$F$5:$H$113,3,FALSE)</f>
        <v>18</v>
      </c>
      <c r="R41" s="68">
        <f>VLOOKUP(UNIFAEL.[[#This Row],[CURSO]],'[1]POS_VIVO_0112 a 3101_CAMP. REG)'!$F$5:$I$113,4,FALSE)</f>
        <v>19</v>
      </c>
      <c r="S41" s="73">
        <f>VLOOKUP(UNIFAEL.[[#This Row],[CURSO]],'[1]POS_VIVO_0112 a 3101_CAMP. REG)'!$F$5:$J$113,5,FALSE)</f>
        <v>320.59937400000007</v>
      </c>
      <c r="T41" s="124">
        <f>VLOOKUP(UNIFAEL.[[#This Row],[CURSO]],'[1]POS_VIVO_0112 a 3101_CAMP. REG)'!$F$5:$L$113,7,FALSE)</f>
        <v>0.4</v>
      </c>
      <c r="U41" s="73">
        <f>VLOOKUP(UNIFAEL.[[#This Row],[CURSO]],'[1]POS_VIVO_0112 a 3101_CAMP. REG)'!$F$5:$M$113,8,FALSE)</f>
        <v>173.12</v>
      </c>
      <c r="V41" s="72">
        <f>VLOOKUP(UNIFAEL.[[#This Row],[CURSO]],'[1]POS_VIVO_0112 a 3101_CAMP. REG)'!$F$5:$P$113,11,FALSE)</f>
        <v>0.45</v>
      </c>
      <c r="W41" s="73">
        <f>VLOOKUP(UNIFAEL.[[#This Row],[CURSO]],'[1]POS_VIVO_0112 a 3101_CAMP. REG)'!$F$5:$Q$113,12,FALSE)</f>
        <v>158.69999999999999</v>
      </c>
      <c r="X41" s="75">
        <f>UNIFAEL.[[#This Row],[Nº Parcelas]]</f>
        <v>19</v>
      </c>
      <c r="Y41" s="75">
        <f>UNIFAEL.[[#This Row],[Nº Parcelas normal2]]-1</f>
        <v>18</v>
      </c>
      <c r="Z41" s="73">
        <f>UNIFAEL.[[#This Row],[$ NORMAL]]</f>
        <v>320.59937400000007</v>
      </c>
      <c r="AA41" s="72">
        <f>UNIFAEL.[[#This Row],[%  SITE]]</f>
        <v>0.4</v>
      </c>
      <c r="AB41" s="73">
        <f>UNIFAEL.[[#This Row],[$ SITE]]</f>
        <v>173.12</v>
      </c>
      <c r="AC41" s="72">
        <f>UNIFAEL.[[#This Row],[%  SGP]]</f>
        <v>0.45</v>
      </c>
      <c r="AD41" s="73">
        <f>UNIFAEL.[[#This Row],[$ SGP]]</f>
        <v>158.69999999999999</v>
      </c>
      <c r="AE41" s="69" t="s">
        <v>371</v>
      </c>
      <c r="AF41" s="69" t="s">
        <v>372</v>
      </c>
      <c r="AH41" s="121" t="s">
        <v>345</v>
      </c>
      <c r="AI41" s="69" t="s">
        <v>19</v>
      </c>
      <c r="AJ41" s="69" t="str">
        <f>VLOOKUP(UNAMA.[[#This Row],[PARCELA MATRICULA NÃO PAGA]],'[1]POS_VIVO_0112 a 3101_CAMP. REG)'!$F$115:$G$222,2,FALSE)</f>
        <v>Direito</v>
      </c>
      <c r="AK41" s="69">
        <f>VLOOKUP(UNAMA.[[#This Row],[PARCELA MATRICULA NÃO PAGA]],'[1]POS_VIVO_0112 a 3101_CAMP. REG)'!$F$115:$H$222,3,FALSE)</f>
        <v>18</v>
      </c>
      <c r="AL41" s="69">
        <f>VLOOKUP(UNAMA.[[#This Row],[PARCELA MATRICULA NÃO PAGA]],'[1]POS_VIVO_0112 a 3101_CAMP. REG)'!$F$115:$I$222,4,FALSE)</f>
        <v>19</v>
      </c>
      <c r="AM41" s="73">
        <f>VLOOKUP(UNAMA.[[#This Row],[PARCELA MATRICULA NÃO PAGA]],'[1]POS_VIVO_0112 a 3101_CAMP. REG)'!$F$115:$J$222,5,FALSE)</f>
        <v>352.66770900000006</v>
      </c>
      <c r="AN41" s="123">
        <f>VLOOKUP(UNAMA.[[#This Row],[PARCELA MATRICULA NÃO PAGA]],'[1]POS_VIVO_0112 a 3101_CAMP. REG)'!$F$115:$L$222,7,FALSE)</f>
        <v>0.4</v>
      </c>
      <c r="AO41" s="73">
        <f>VLOOKUP(UNAMA.[[#This Row],[PARCELA MATRICULA NÃO PAGA]],'[1]POS_VIVO_0112 a 3101_CAMP. REG)'!$F$115:$M$222,8,FALSE)</f>
        <v>190.44</v>
      </c>
      <c r="AP41" s="72">
        <f>VLOOKUP(UNAMA.[[#This Row],[PARCELA MATRICULA NÃO PAGA]],'[1]POS_VIVO_0112 a 3101_CAMP. REG)'!$F$115:$P$222,11,FALSE)</f>
        <v>0.45</v>
      </c>
      <c r="AQ41" s="73">
        <f>VLOOKUP(UNAMA.[[#This Row],[PARCELA MATRICULA NÃO PAGA]],'[1]POS_VIVO_0112 a 3101_CAMP. REG)'!$F$115:$Q$222,12,FALSE)</f>
        <v>174.57</v>
      </c>
      <c r="AR41" s="68">
        <f>UNAMA.[[#This Row],[Nº Parcelas]]</f>
        <v>19</v>
      </c>
      <c r="AS41" s="68">
        <f>UNAMA.[[#This Row],[Nº Parcelas normal2]]-1</f>
        <v>18</v>
      </c>
      <c r="AT41" s="71">
        <f>UNAMA.[[#This Row],[$ NORMAL]]</f>
        <v>352.66770900000006</v>
      </c>
      <c r="AU41" s="162">
        <f>UNAMA.[[#This Row],[%  SITE]]</f>
        <v>0.4</v>
      </c>
      <c r="AV41" s="161">
        <f>UNAMA.[[#This Row],[$ SITE]]</f>
        <v>190.44</v>
      </c>
      <c r="AW41" s="162">
        <f>UNAMA.[[#This Row],[%  SGP]]</f>
        <v>0.45</v>
      </c>
      <c r="AX41" s="161">
        <f>UNAMA.[[#This Row],[$ SGP]]</f>
        <v>174.57</v>
      </c>
      <c r="AY41" s="69" t="s">
        <v>351</v>
      </c>
      <c r="AZ41" s="69" t="s">
        <v>372</v>
      </c>
      <c r="BB41" s="121" t="s">
        <v>345</v>
      </c>
      <c r="BC41" s="69" t="s">
        <v>19</v>
      </c>
      <c r="BD41" s="69" t="str">
        <f>VLOOKUP(UNG.[[#This Row],[CURSO]],'[1]POS_VIVO_0112 a 3101_CAMP. REG)'!$F$224:$G$331,2,FALSE)</f>
        <v>Direito</v>
      </c>
      <c r="BE41" s="68">
        <f>VLOOKUP(UNG.[[#This Row],[CURSO]],'[1]POS_VIVO_0112 a 3101_CAMP. REG)'!$F$224:$H$331,3,FALSE)</f>
        <v>18</v>
      </c>
      <c r="BF41" s="68">
        <f>VLOOKUP(UNG.[[#This Row],[CURSO]],'[1]POS_VIVO_0112 a 3101_CAMP. REG)'!$F$224:$I$331,4,FALSE)</f>
        <v>19</v>
      </c>
      <c r="BG41" s="73">
        <f>VLOOKUP(UNG.[[#This Row],[CURSO]],'[1]POS_VIVO_0112 a 3101_CAMP. REG)'!$F$224:$J$331,5,FALSE)</f>
        <v>320.59937400000007</v>
      </c>
      <c r="BH41" s="72">
        <f>VLOOKUP(UNG.[[#This Row],[CURSO]],'[1]POS_VIVO_0112 a 3101_CAMP. REG)'!$F$224:$L$331,7,FALSE)</f>
        <v>0.4</v>
      </c>
      <c r="BI41" s="73">
        <f>VLOOKUP(UNG.[[#This Row],[CURSO]],'[1]POS_VIVO_0112 a 3101_CAMP. REG)'!$F$224:$M$331,8,FALSE)</f>
        <v>173.12</v>
      </c>
      <c r="BJ41" s="72">
        <f>VLOOKUP(UNG.[[#This Row],[CURSO]],'[1]POS_VIVO_0112 a 3101_CAMP. REG)'!$F$224:$P$331,11,FALSE)</f>
        <v>0.45</v>
      </c>
      <c r="BK41" s="73">
        <f>VLOOKUP(UNG.[[#This Row],[CURSO]],'[1]POS_VIVO_0112 a 3101_CAMP. REG)'!$F$224:$Q$331,12,FALSE)</f>
        <v>158.69999999999999</v>
      </c>
      <c r="BL41" s="75">
        <f>UNG.[[#This Row],[Nº Parcelas]]</f>
        <v>19</v>
      </c>
      <c r="BM41" s="75">
        <f>UNG.[[#This Row],[Nº Parcelas normal2]]-1</f>
        <v>18</v>
      </c>
      <c r="BN41" s="73">
        <f>UNG.[[#This Row],[$ NORMAL]]</f>
        <v>320.59937400000007</v>
      </c>
      <c r="BO41" s="72">
        <f>UNG.[[#This Row],[%  SITE]]</f>
        <v>0.4</v>
      </c>
      <c r="BP41" s="73">
        <f>UNG.[[#This Row],[$ SITE]]</f>
        <v>173.12</v>
      </c>
      <c r="BQ41" s="72">
        <f>UNG.[[#This Row],[%  SGP]]</f>
        <v>0.45</v>
      </c>
      <c r="BR41" s="73">
        <f>UNG.[[#This Row],[$ SGP]]</f>
        <v>158.69999999999999</v>
      </c>
      <c r="BS41" s="69" t="s">
        <v>351</v>
      </c>
      <c r="BT41" s="69" t="s">
        <v>372</v>
      </c>
      <c r="BV41" s="121" t="s">
        <v>345</v>
      </c>
      <c r="BW41" s="69" t="s">
        <v>19</v>
      </c>
      <c r="BX41" s="69" t="str">
        <f>VLOOKUP(UNINASSAU.[[#This Row],[CURSO]],'[1]POS_VIVO_0112 a 3101_CAMP. REG)'!$F$333:$G$447,2,FALSE)</f>
        <v>Direito</v>
      </c>
      <c r="BY41" s="68">
        <f>VLOOKUP(UNINASSAU.[[#This Row],[CURSO]],'[1]POS_VIVO_0112 a 3101_CAMP. REG)'!$F$333:$H$447,3,FALSE)</f>
        <v>18</v>
      </c>
      <c r="BZ41" s="68">
        <f>VLOOKUP(UNINASSAU.[[#This Row],[CURSO]],'[1]POS_VIVO_0112 a 3101_CAMP. REG)'!$F$333:$I$447,4,FALSE)</f>
        <v>19</v>
      </c>
      <c r="CA41" s="73">
        <f>VLOOKUP(UNINASSAU.[[#This Row],[CURSO]],'[1]POS_VIVO_0112 a 3101_CAMP. REG)'!$F$333:$J$447,5,FALSE)</f>
        <v>320.59937400000007</v>
      </c>
      <c r="CB41" s="72">
        <f>VLOOKUP(UNINASSAU.[[#This Row],[CURSO]],'[1]POS_VIVO_0112 a 3101_CAMP. REG)'!$F$333:$L$447,7,FALSE)</f>
        <v>0.4</v>
      </c>
      <c r="CC41" s="73">
        <f>VLOOKUP(UNINASSAU.[[#This Row],[CURSO]],'[1]POS_VIVO_0112 a 3101_CAMP. REG)'!$F$333:$M$447,8,FALSE)</f>
        <v>173.12</v>
      </c>
      <c r="CD41" s="72">
        <f>VLOOKUP(UNINASSAU.[[#This Row],[CURSO]],'[1]POS_VIVO_0112 a 3101_CAMP. REG)'!$F$333:$P$447,11,FALSE)</f>
        <v>0.45</v>
      </c>
      <c r="CE41" s="73">
        <f>VLOOKUP(UNINASSAU.[[#This Row],[CURSO]],'[1]POS_VIVO_0112 a 3101_CAMP. REG)'!$F$333:$Q$447,12,FALSE)</f>
        <v>158.69999999999999</v>
      </c>
      <c r="CF41" s="75">
        <f>UNINASSAU.[[#This Row],[Nº Parcelas]]</f>
        <v>19</v>
      </c>
      <c r="CG41" s="75">
        <f>UNINASSAU.[[#This Row],[Nº Parcelas normal2]]-1</f>
        <v>18</v>
      </c>
      <c r="CH41" s="73">
        <f>UNINASSAU.[[#This Row],[$ NORMAL]]</f>
        <v>320.59937400000007</v>
      </c>
      <c r="CI41" s="72">
        <f>UNINASSAU.[[#This Row],[%  SITE]]</f>
        <v>0.4</v>
      </c>
      <c r="CJ41" s="73">
        <f>UNINASSAU.[[#This Row],[$ SITE]]</f>
        <v>173.12</v>
      </c>
      <c r="CK41" s="72">
        <f>UNINASSAU.[[#This Row],[%  SGP]]</f>
        <v>0.45</v>
      </c>
      <c r="CL41" s="73">
        <f>UNINASSAU.[[#This Row],[$ SGP]]</f>
        <v>158.69999999999999</v>
      </c>
      <c r="CM41" s="69" t="s">
        <v>351</v>
      </c>
      <c r="CN41" s="69" t="s">
        <v>372</v>
      </c>
      <c r="CP41" s="104">
        <v>38</v>
      </c>
      <c r="CQ41" s="121" t="s">
        <v>298</v>
      </c>
    </row>
    <row r="42" spans="14:95" ht="16.5" customHeight="1" x14ac:dyDescent="0.25">
      <c r="N42" s="121" t="s">
        <v>338</v>
      </c>
      <c r="O42" s="69" t="s">
        <v>19</v>
      </c>
      <c r="P42" s="69" t="str">
        <f>VLOOKUP(UNIFAEL.[[#This Row],[CURSO]],'[1]POS_VIVO_0112 a 3101_CAMP. REG)'!$F$5:$G$113,2,FALSE)</f>
        <v>Gestão</v>
      </c>
      <c r="Q42" s="68">
        <f>VLOOKUP(UNIFAEL.[[#This Row],[CURSO]],'[1]POS_VIVO_0112 a 3101_CAMP. REG)'!$F$5:$H$113,3,FALSE)</f>
        <v>18</v>
      </c>
      <c r="R42" s="68">
        <f>VLOOKUP(UNIFAEL.[[#This Row],[CURSO]],'[1]POS_VIVO_0112 a 3101_CAMP. REG)'!$F$5:$I$113,4,FALSE)</f>
        <v>19</v>
      </c>
      <c r="S42" s="73">
        <f>VLOOKUP(UNIFAEL.[[#This Row],[CURSO]],'[1]POS_VIVO_0112 a 3101_CAMP. REG)'!$F$5:$J$113,5,FALSE)</f>
        <v>320.59937400000007</v>
      </c>
      <c r="T42" s="124">
        <f>VLOOKUP(UNIFAEL.[[#This Row],[CURSO]],'[1]POS_VIVO_0112 a 3101_CAMP. REG)'!$F$5:$L$113,7,FALSE)</f>
        <v>0.4</v>
      </c>
      <c r="U42" s="73">
        <f>VLOOKUP(UNIFAEL.[[#This Row],[CURSO]],'[1]POS_VIVO_0112 a 3101_CAMP. REG)'!$F$5:$M$113,8,FALSE)</f>
        <v>173.12</v>
      </c>
      <c r="V42" s="72">
        <f>VLOOKUP(UNIFAEL.[[#This Row],[CURSO]],'[1]POS_VIVO_0112 a 3101_CAMP. REG)'!$F$5:$P$113,11,FALSE)</f>
        <v>0.45</v>
      </c>
      <c r="W42" s="73">
        <f>VLOOKUP(UNIFAEL.[[#This Row],[CURSO]],'[1]POS_VIVO_0112 a 3101_CAMP. REG)'!$F$5:$Q$113,12,FALSE)</f>
        <v>158.69999999999999</v>
      </c>
      <c r="X42" s="75">
        <f>UNIFAEL.[[#This Row],[Nº Parcelas]]</f>
        <v>19</v>
      </c>
      <c r="Y42" s="75">
        <f>UNIFAEL.[[#This Row],[Nº Parcelas normal2]]-1</f>
        <v>18</v>
      </c>
      <c r="Z42" s="73">
        <f>UNIFAEL.[[#This Row],[$ NORMAL]]</f>
        <v>320.59937400000007</v>
      </c>
      <c r="AA42" s="72">
        <f>UNIFAEL.[[#This Row],[%  SITE]]</f>
        <v>0.4</v>
      </c>
      <c r="AB42" s="73">
        <f>UNIFAEL.[[#This Row],[$ SITE]]</f>
        <v>173.12</v>
      </c>
      <c r="AC42" s="72">
        <f>UNIFAEL.[[#This Row],[%  SGP]]</f>
        <v>0.45</v>
      </c>
      <c r="AD42" s="73">
        <f>UNIFAEL.[[#This Row],[$ SGP]]</f>
        <v>158.69999999999999</v>
      </c>
      <c r="AE42" s="69" t="s">
        <v>371</v>
      </c>
      <c r="AF42" s="69" t="s">
        <v>372</v>
      </c>
      <c r="AH42" s="121" t="s">
        <v>338</v>
      </c>
      <c r="AI42" s="69" t="s">
        <v>19</v>
      </c>
      <c r="AJ42" s="69" t="str">
        <f>VLOOKUP(UNAMA.[[#This Row],[PARCELA MATRICULA NÃO PAGA]],'[1]POS_VIVO_0112 a 3101_CAMP. REG)'!$F$115:$G$222,2,FALSE)</f>
        <v>Gestão</v>
      </c>
      <c r="AK42" s="69">
        <f>VLOOKUP(UNAMA.[[#This Row],[PARCELA MATRICULA NÃO PAGA]],'[1]POS_VIVO_0112 a 3101_CAMP. REG)'!$F$115:$H$222,3,FALSE)</f>
        <v>18</v>
      </c>
      <c r="AL42" s="69">
        <f>VLOOKUP(UNAMA.[[#This Row],[PARCELA MATRICULA NÃO PAGA]],'[1]POS_VIVO_0112 a 3101_CAMP. REG)'!$F$115:$I$222,4,FALSE)</f>
        <v>19</v>
      </c>
      <c r="AM42" s="73">
        <f>VLOOKUP(UNAMA.[[#This Row],[PARCELA MATRICULA NÃO PAGA]],'[1]POS_VIVO_0112 a 3101_CAMP. REG)'!$F$115:$J$222,5,FALSE)</f>
        <v>352.66770900000006</v>
      </c>
      <c r="AN42" s="123">
        <f>VLOOKUP(UNAMA.[[#This Row],[PARCELA MATRICULA NÃO PAGA]],'[1]POS_VIVO_0112 a 3101_CAMP. REG)'!$F$115:$L$222,7,FALSE)</f>
        <v>0.4</v>
      </c>
      <c r="AO42" s="73">
        <f>VLOOKUP(UNAMA.[[#This Row],[PARCELA MATRICULA NÃO PAGA]],'[1]POS_VIVO_0112 a 3101_CAMP. REG)'!$F$115:$M$222,8,FALSE)</f>
        <v>190.44</v>
      </c>
      <c r="AP42" s="72">
        <f>VLOOKUP(UNAMA.[[#This Row],[PARCELA MATRICULA NÃO PAGA]],'[1]POS_VIVO_0112 a 3101_CAMP. REG)'!$F$115:$P$222,11,FALSE)</f>
        <v>0.45</v>
      </c>
      <c r="AQ42" s="73">
        <f>VLOOKUP(UNAMA.[[#This Row],[PARCELA MATRICULA NÃO PAGA]],'[1]POS_VIVO_0112 a 3101_CAMP. REG)'!$F$115:$Q$222,12,FALSE)</f>
        <v>174.57</v>
      </c>
      <c r="AR42" s="68">
        <f>UNAMA.[[#This Row],[Nº Parcelas]]</f>
        <v>19</v>
      </c>
      <c r="AS42" s="68">
        <f>UNAMA.[[#This Row],[Nº Parcelas normal2]]-1</f>
        <v>18</v>
      </c>
      <c r="AT42" s="71">
        <f>UNAMA.[[#This Row],[$ NORMAL]]</f>
        <v>352.66770900000006</v>
      </c>
      <c r="AU42" s="162">
        <f>UNAMA.[[#This Row],[%  SITE]]</f>
        <v>0.4</v>
      </c>
      <c r="AV42" s="161">
        <f>UNAMA.[[#This Row],[$ SITE]]</f>
        <v>190.44</v>
      </c>
      <c r="AW42" s="162">
        <f>UNAMA.[[#This Row],[%  SGP]]</f>
        <v>0.45</v>
      </c>
      <c r="AX42" s="161">
        <f>UNAMA.[[#This Row],[$ SGP]]</f>
        <v>174.57</v>
      </c>
      <c r="AY42" s="69" t="s">
        <v>351</v>
      </c>
      <c r="AZ42" s="69" t="s">
        <v>372</v>
      </c>
      <c r="BB42" s="121" t="s">
        <v>338</v>
      </c>
      <c r="BC42" s="69" t="s">
        <v>19</v>
      </c>
      <c r="BD42" s="69" t="str">
        <f>VLOOKUP(UNG.[[#This Row],[CURSO]],'[1]POS_VIVO_0112 a 3101_CAMP. REG)'!$F$224:$G$331,2,FALSE)</f>
        <v>Gestão</v>
      </c>
      <c r="BE42" s="68">
        <f>VLOOKUP(UNG.[[#This Row],[CURSO]],'[1]POS_VIVO_0112 a 3101_CAMP. REG)'!$F$224:$H$331,3,FALSE)</f>
        <v>18</v>
      </c>
      <c r="BF42" s="68">
        <f>VLOOKUP(UNG.[[#This Row],[CURSO]],'[1]POS_VIVO_0112 a 3101_CAMP. REG)'!$F$224:$I$331,4,FALSE)</f>
        <v>19</v>
      </c>
      <c r="BG42" s="73">
        <f>VLOOKUP(UNG.[[#This Row],[CURSO]],'[1]POS_VIVO_0112 a 3101_CAMP. REG)'!$F$224:$J$331,5,FALSE)</f>
        <v>320.59937400000007</v>
      </c>
      <c r="BH42" s="72">
        <f>VLOOKUP(UNG.[[#This Row],[CURSO]],'[1]POS_VIVO_0112 a 3101_CAMP. REG)'!$F$224:$L$331,7,FALSE)</f>
        <v>0.4</v>
      </c>
      <c r="BI42" s="73">
        <f>VLOOKUP(UNG.[[#This Row],[CURSO]],'[1]POS_VIVO_0112 a 3101_CAMP. REG)'!$F$224:$M$331,8,FALSE)</f>
        <v>173.12</v>
      </c>
      <c r="BJ42" s="72">
        <f>VLOOKUP(UNG.[[#This Row],[CURSO]],'[1]POS_VIVO_0112 a 3101_CAMP. REG)'!$F$224:$P$331,11,FALSE)</f>
        <v>0.45</v>
      </c>
      <c r="BK42" s="73">
        <f>VLOOKUP(UNG.[[#This Row],[CURSO]],'[1]POS_VIVO_0112 a 3101_CAMP. REG)'!$F$224:$Q$331,12,FALSE)</f>
        <v>158.69999999999999</v>
      </c>
      <c r="BL42" s="75">
        <f>UNG.[[#This Row],[Nº Parcelas]]</f>
        <v>19</v>
      </c>
      <c r="BM42" s="75">
        <f>UNG.[[#This Row],[Nº Parcelas normal2]]-1</f>
        <v>18</v>
      </c>
      <c r="BN42" s="73">
        <f>UNG.[[#This Row],[$ NORMAL]]</f>
        <v>320.59937400000007</v>
      </c>
      <c r="BO42" s="72">
        <f>UNG.[[#This Row],[%  SITE]]</f>
        <v>0.4</v>
      </c>
      <c r="BP42" s="73">
        <f>UNG.[[#This Row],[$ SITE]]</f>
        <v>173.12</v>
      </c>
      <c r="BQ42" s="72">
        <f>UNG.[[#This Row],[%  SGP]]</f>
        <v>0.45</v>
      </c>
      <c r="BR42" s="73">
        <f>UNG.[[#This Row],[$ SGP]]</f>
        <v>158.69999999999999</v>
      </c>
      <c r="BS42" s="69" t="s">
        <v>351</v>
      </c>
      <c r="BT42" s="69" t="s">
        <v>372</v>
      </c>
      <c r="BV42" s="121" t="s">
        <v>338</v>
      </c>
      <c r="BW42" s="69" t="s">
        <v>19</v>
      </c>
      <c r="BX42" s="69" t="str">
        <f>VLOOKUP(UNINASSAU.[[#This Row],[CURSO]],'[1]POS_VIVO_0112 a 3101_CAMP. REG)'!$F$333:$G$447,2,FALSE)</f>
        <v>Gestão</v>
      </c>
      <c r="BY42" s="68">
        <f>VLOOKUP(UNINASSAU.[[#This Row],[CURSO]],'[1]POS_VIVO_0112 a 3101_CAMP. REG)'!$F$333:$H$447,3,FALSE)</f>
        <v>18</v>
      </c>
      <c r="BZ42" s="68">
        <f>VLOOKUP(UNINASSAU.[[#This Row],[CURSO]],'[1]POS_VIVO_0112 a 3101_CAMP. REG)'!$F$333:$I$447,4,FALSE)</f>
        <v>19</v>
      </c>
      <c r="CA42" s="73">
        <f>VLOOKUP(UNINASSAU.[[#This Row],[CURSO]],'[1]POS_VIVO_0112 a 3101_CAMP. REG)'!$F$333:$J$447,5,FALSE)</f>
        <v>320.59937400000007</v>
      </c>
      <c r="CB42" s="72">
        <f>VLOOKUP(UNINASSAU.[[#This Row],[CURSO]],'[1]POS_VIVO_0112 a 3101_CAMP. REG)'!$F$333:$L$447,7,FALSE)</f>
        <v>0.4</v>
      </c>
      <c r="CC42" s="73">
        <f>VLOOKUP(UNINASSAU.[[#This Row],[CURSO]],'[1]POS_VIVO_0112 a 3101_CAMP. REG)'!$F$333:$M$447,8,FALSE)</f>
        <v>173.12</v>
      </c>
      <c r="CD42" s="72">
        <f>VLOOKUP(UNINASSAU.[[#This Row],[CURSO]],'[1]POS_VIVO_0112 a 3101_CAMP. REG)'!$F$333:$P$447,11,FALSE)</f>
        <v>0.45</v>
      </c>
      <c r="CE42" s="73">
        <f>VLOOKUP(UNINASSAU.[[#This Row],[CURSO]],'[1]POS_VIVO_0112 a 3101_CAMP. REG)'!$F$333:$Q$447,12,FALSE)</f>
        <v>158.69999999999999</v>
      </c>
      <c r="CF42" s="75">
        <f>UNINASSAU.[[#This Row],[Nº Parcelas]]</f>
        <v>19</v>
      </c>
      <c r="CG42" s="75">
        <f>UNINASSAU.[[#This Row],[Nº Parcelas normal2]]-1</f>
        <v>18</v>
      </c>
      <c r="CH42" s="73">
        <f>UNINASSAU.[[#This Row],[$ NORMAL]]</f>
        <v>320.59937400000007</v>
      </c>
      <c r="CI42" s="72">
        <f>UNINASSAU.[[#This Row],[%  SITE]]</f>
        <v>0.4</v>
      </c>
      <c r="CJ42" s="73">
        <f>UNINASSAU.[[#This Row],[$ SITE]]</f>
        <v>173.12</v>
      </c>
      <c r="CK42" s="72">
        <f>UNINASSAU.[[#This Row],[%  SGP]]</f>
        <v>0.45</v>
      </c>
      <c r="CL42" s="73">
        <f>UNINASSAU.[[#This Row],[$ SGP]]</f>
        <v>158.69999999999999</v>
      </c>
      <c r="CM42" s="69" t="s">
        <v>351</v>
      </c>
      <c r="CN42" s="69" t="s">
        <v>372</v>
      </c>
      <c r="CP42" s="104">
        <v>39</v>
      </c>
      <c r="CQ42" s="121" t="s">
        <v>300</v>
      </c>
    </row>
    <row r="43" spans="14:95" ht="16.5" customHeight="1" x14ac:dyDescent="0.25">
      <c r="N43" s="121" t="s">
        <v>344</v>
      </c>
      <c r="O43" s="69" t="s">
        <v>19</v>
      </c>
      <c r="P43" s="69" t="str">
        <f>VLOOKUP(UNIFAEL.[[#This Row],[CURSO]],'[1]POS_VIVO_0112 a 3101_CAMP. REG)'!$F$5:$G$113,2,FALSE)</f>
        <v>Gestão</v>
      </c>
      <c r="Q43" s="68">
        <f>VLOOKUP(UNIFAEL.[[#This Row],[CURSO]],'[1]POS_VIVO_0112 a 3101_CAMP. REG)'!$F$5:$H$113,3,FALSE)</f>
        <v>18</v>
      </c>
      <c r="R43" s="68">
        <f>VLOOKUP(UNIFAEL.[[#This Row],[CURSO]],'[1]POS_VIVO_0112 a 3101_CAMP. REG)'!$F$5:$I$113,4,FALSE)</f>
        <v>19</v>
      </c>
      <c r="S43" s="73">
        <f>VLOOKUP(UNIFAEL.[[#This Row],[CURSO]],'[1]POS_VIVO_0112 a 3101_CAMP. REG)'!$F$5:$J$113,5,FALSE)</f>
        <v>320.59937400000007</v>
      </c>
      <c r="T43" s="124">
        <f>VLOOKUP(UNIFAEL.[[#This Row],[CURSO]],'[1]POS_VIVO_0112 a 3101_CAMP. REG)'!$F$5:$L$113,7,FALSE)</f>
        <v>0.4</v>
      </c>
      <c r="U43" s="73">
        <f>VLOOKUP(UNIFAEL.[[#This Row],[CURSO]],'[1]POS_VIVO_0112 a 3101_CAMP. REG)'!$F$5:$M$113,8,FALSE)</f>
        <v>173.12</v>
      </c>
      <c r="V43" s="72">
        <f>VLOOKUP(UNIFAEL.[[#This Row],[CURSO]],'[1]POS_VIVO_0112 a 3101_CAMP. REG)'!$F$5:$P$113,11,FALSE)</f>
        <v>0.45</v>
      </c>
      <c r="W43" s="73">
        <f>VLOOKUP(UNIFAEL.[[#This Row],[CURSO]],'[1]POS_VIVO_0112 a 3101_CAMP. REG)'!$F$5:$Q$113,12,FALSE)</f>
        <v>158.69999999999999</v>
      </c>
      <c r="X43" s="75">
        <f>UNIFAEL.[[#This Row],[Nº Parcelas]]</f>
        <v>19</v>
      </c>
      <c r="Y43" s="75">
        <f>UNIFAEL.[[#This Row],[Nº Parcelas normal2]]-1</f>
        <v>18</v>
      </c>
      <c r="Z43" s="73">
        <f>UNIFAEL.[[#This Row],[$ NORMAL]]</f>
        <v>320.59937400000007</v>
      </c>
      <c r="AA43" s="72">
        <f>UNIFAEL.[[#This Row],[%  SITE]]</f>
        <v>0.4</v>
      </c>
      <c r="AB43" s="73">
        <f>UNIFAEL.[[#This Row],[$ SITE]]</f>
        <v>173.12</v>
      </c>
      <c r="AC43" s="72">
        <f>UNIFAEL.[[#This Row],[%  SGP]]</f>
        <v>0.45</v>
      </c>
      <c r="AD43" s="73">
        <f>UNIFAEL.[[#This Row],[$ SGP]]</f>
        <v>158.69999999999999</v>
      </c>
      <c r="AE43" s="69" t="s">
        <v>371</v>
      </c>
      <c r="AF43" s="69" t="s">
        <v>372</v>
      </c>
      <c r="AH43" s="121" t="s">
        <v>344</v>
      </c>
      <c r="AI43" s="69" t="s">
        <v>19</v>
      </c>
      <c r="AJ43" s="69" t="str">
        <f>VLOOKUP(UNAMA.[[#This Row],[PARCELA MATRICULA NÃO PAGA]],'[1]POS_VIVO_0112 a 3101_CAMP. REG)'!$F$115:$G$222,2,FALSE)</f>
        <v>Gestão</v>
      </c>
      <c r="AK43" s="69">
        <f>VLOOKUP(UNAMA.[[#This Row],[PARCELA MATRICULA NÃO PAGA]],'[1]POS_VIVO_0112 a 3101_CAMP. REG)'!$F$115:$H$222,3,FALSE)</f>
        <v>18</v>
      </c>
      <c r="AL43" s="69">
        <f>VLOOKUP(UNAMA.[[#This Row],[PARCELA MATRICULA NÃO PAGA]],'[1]POS_VIVO_0112 a 3101_CAMP. REG)'!$F$115:$I$222,4,FALSE)</f>
        <v>19</v>
      </c>
      <c r="AM43" s="73">
        <f>VLOOKUP(UNAMA.[[#This Row],[PARCELA MATRICULA NÃO PAGA]],'[1]POS_VIVO_0112 a 3101_CAMP. REG)'!$F$115:$J$222,5,FALSE)</f>
        <v>352.66770900000006</v>
      </c>
      <c r="AN43" s="123">
        <f>VLOOKUP(UNAMA.[[#This Row],[PARCELA MATRICULA NÃO PAGA]],'[1]POS_VIVO_0112 a 3101_CAMP. REG)'!$F$115:$L$222,7,FALSE)</f>
        <v>0.4</v>
      </c>
      <c r="AO43" s="73">
        <f>VLOOKUP(UNAMA.[[#This Row],[PARCELA MATRICULA NÃO PAGA]],'[1]POS_VIVO_0112 a 3101_CAMP. REG)'!$F$115:$M$222,8,FALSE)</f>
        <v>190.44</v>
      </c>
      <c r="AP43" s="72">
        <f>VLOOKUP(UNAMA.[[#This Row],[PARCELA MATRICULA NÃO PAGA]],'[1]POS_VIVO_0112 a 3101_CAMP. REG)'!$F$115:$P$222,11,FALSE)</f>
        <v>0.45</v>
      </c>
      <c r="AQ43" s="73">
        <f>VLOOKUP(UNAMA.[[#This Row],[PARCELA MATRICULA NÃO PAGA]],'[1]POS_VIVO_0112 a 3101_CAMP. REG)'!$F$115:$Q$222,12,FALSE)</f>
        <v>174.57</v>
      </c>
      <c r="AR43" s="68">
        <f>UNAMA.[[#This Row],[Nº Parcelas]]</f>
        <v>19</v>
      </c>
      <c r="AS43" s="68">
        <f>UNAMA.[[#This Row],[Nº Parcelas normal2]]-1</f>
        <v>18</v>
      </c>
      <c r="AT43" s="71">
        <f>UNAMA.[[#This Row],[$ NORMAL]]</f>
        <v>352.66770900000006</v>
      </c>
      <c r="AU43" s="162">
        <f>UNAMA.[[#This Row],[%  SITE]]</f>
        <v>0.4</v>
      </c>
      <c r="AV43" s="161">
        <f>UNAMA.[[#This Row],[$ SITE]]</f>
        <v>190.44</v>
      </c>
      <c r="AW43" s="162">
        <f>UNAMA.[[#This Row],[%  SGP]]</f>
        <v>0.45</v>
      </c>
      <c r="AX43" s="161">
        <f>UNAMA.[[#This Row],[$ SGP]]</f>
        <v>174.57</v>
      </c>
      <c r="AY43" s="69" t="s">
        <v>351</v>
      </c>
      <c r="AZ43" s="69" t="s">
        <v>372</v>
      </c>
      <c r="BB43" s="121" t="s">
        <v>344</v>
      </c>
      <c r="BC43" s="69" t="s">
        <v>19</v>
      </c>
      <c r="BD43" s="69" t="str">
        <f>VLOOKUP(UNG.[[#This Row],[CURSO]],'[1]POS_VIVO_0112 a 3101_CAMP. REG)'!$F$224:$G$331,2,FALSE)</f>
        <v>Gestão</v>
      </c>
      <c r="BE43" s="68">
        <f>VLOOKUP(UNG.[[#This Row],[CURSO]],'[1]POS_VIVO_0112 a 3101_CAMP. REG)'!$F$224:$H$331,3,FALSE)</f>
        <v>18</v>
      </c>
      <c r="BF43" s="68">
        <f>VLOOKUP(UNG.[[#This Row],[CURSO]],'[1]POS_VIVO_0112 a 3101_CAMP. REG)'!$F$224:$I$331,4,FALSE)</f>
        <v>19</v>
      </c>
      <c r="BG43" s="73">
        <f>VLOOKUP(UNG.[[#This Row],[CURSO]],'[1]POS_VIVO_0112 a 3101_CAMP. REG)'!$F$224:$J$331,5,FALSE)</f>
        <v>320.59937400000007</v>
      </c>
      <c r="BH43" s="72">
        <f>VLOOKUP(UNG.[[#This Row],[CURSO]],'[1]POS_VIVO_0112 a 3101_CAMP. REG)'!$F$224:$L$331,7,FALSE)</f>
        <v>0.4</v>
      </c>
      <c r="BI43" s="73">
        <f>VLOOKUP(UNG.[[#This Row],[CURSO]],'[1]POS_VIVO_0112 a 3101_CAMP. REG)'!$F$224:$M$331,8,FALSE)</f>
        <v>173.12</v>
      </c>
      <c r="BJ43" s="72">
        <f>VLOOKUP(UNG.[[#This Row],[CURSO]],'[1]POS_VIVO_0112 a 3101_CAMP. REG)'!$F$224:$P$331,11,FALSE)</f>
        <v>0.45</v>
      </c>
      <c r="BK43" s="73">
        <f>VLOOKUP(UNG.[[#This Row],[CURSO]],'[1]POS_VIVO_0112 a 3101_CAMP. REG)'!$F$224:$Q$331,12,FALSE)</f>
        <v>158.69999999999999</v>
      </c>
      <c r="BL43" s="75">
        <f>UNG.[[#This Row],[Nº Parcelas]]</f>
        <v>19</v>
      </c>
      <c r="BM43" s="75">
        <f>UNG.[[#This Row],[Nº Parcelas normal2]]-1</f>
        <v>18</v>
      </c>
      <c r="BN43" s="73">
        <f>UNG.[[#This Row],[$ NORMAL]]</f>
        <v>320.59937400000007</v>
      </c>
      <c r="BO43" s="72">
        <f>UNG.[[#This Row],[%  SITE]]</f>
        <v>0.4</v>
      </c>
      <c r="BP43" s="73">
        <f>UNG.[[#This Row],[$ SITE]]</f>
        <v>173.12</v>
      </c>
      <c r="BQ43" s="72">
        <f>UNG.[[#This Row],[%  SGP]]</f>
        <v>0.45</v>
      </c>
      <c r="BR43" s="73">
        <f>UNG.[[#This Row],[$ SGP]]</f>
        <v>158.69999999999999</v>
      </c>
      <c r="BS43" s="69" t="s">
        <v>351</v>
      </c>
      <c r="BT43" s="69" t="s">
        <v>372</v>
      </c>
      <c r="BV43" s="121" t="s">
        <v>344</v>
      </c>
      <c r="BW43" s="69" t="s">
        <v>19</v>
      </c>
      <c r="BX43" s="69" t="str">
        <f>VLOOKUP(UNINASSAU.[[#This Row],[CURSO]],'[1]POS_VIVO_0112 a 3101_CAMP. REG)'!$F$333:$G$447,2,FALSE)</f>
        <v>Gestão</v>
      </c>
      <c r="BY43" s="68">
        <f>VLOOKUP(UNINASSAU.[[#This Row],[CURSO]],'[1]POS_VIVO_0112 a 3101_CAMP. REG)'!$F$333:$H$447,3,FALSE)</f>
        <v>18</v>
      </c>
      <c r="BZ43" s="68">
        <f>VLOOKUP(UNINASSAU.[[#This Row],[CURSO]],'[1]POS_VIVO_0112 a 3101_CAMP. REG)'!$F$333:$I$447,4,FALSE)</f>
        <v>19</v>
      </c>
      <c r="CA43" s="73">
        <f>VLOOKUP(UNINASSAU.[[#This Row],[CURSO]],'[1]POS_VIVO_0112 a 3101_CAMP. REG)'!$F$333:$J$447,5,FALSE)</f>
        <v>320.59937400000007</v>
      </c>
      <c r="CB43" s="72">
        <f>VLOOKUP(UNINASSAU.[[#This Row],[CURSO]],'[1]POS_VIVO_0112 a 3101_CAMP. REG)'!$F$333:$L$447,7,FALSE)</f>
        <v>0.4</v>
      </c>
      <c r="CC43" s="73">
        <f>VLOOKUP(UNINASSAU.[[#This Row],[CURSO]],'[1]POS_VIVO_0112 a 3101_CAMP. REG)'!$F$333:$M$447,8,FALSE)</f>
        <v>173.12</v>
      </c>
      <c r="CD43" s="72">
        <f>VLOOKUP(UNINASSAU.[[#This Row],[CURSO]],'[1]POS_VIVO_0112 a 3101_CAMP. REG)'!$F$333:$P$447,11,FALSE)</f>
        <v>0.45</v>
      </c>
      <c r="CE43" s="73">
        <f>VLOOKUP(UNINASSAU.[[#This Row],[CURSO]],'[1]POS_VIVO_0112 a 3101_CAMP. REG)'!$F$333:$Q$447,12,FALSE)</f>
        <v>158.69999999999999</v>
      </c>
      <c r="CF43" s="75">
        <f>UNINASSAU.[[#This Row],[Nº Parcelas]]</f>
        <v>19</v>
      </c>
      <c r="CG43" s="75">
        <f>UNINASSAU.[[#This Row],[Nº Parcelas normal2]]-1</f>
        <v>18</v>
      </c>
      <c r="CH43" s="73">
        <f>UNINASSAU.[[#This Row],[$ NORMAL]]</f>
        <v>320.59937400000007</v>
      </c>
      <c r="CI43" s="72">
        <f>UNINASSAU.[[#This Row],[%  SITE]]</f>
        <v>0.4</v>
      </c>
      <c r="CJ43" s="73">
        <f>UNINASSAU.[[#This Row],[$ SITE]]</f>
        <v>173.12</v>
      </c>
      <c r="CK43" s="72">
        <f>UNINASSAU.[[#This Row],[%  SGP]]</f>
        <v>0.45</v>
      </c>
      <c r="CL43" s="73">
        <f>UNINASSAU.[[#This Row],[$ SGP]]</f>
        <v>158.69999999999999</v>
      </c>
      <c r="CM43" s="69" t="s">
        <v>351</v>
      </c>
      <c r="CN43" s="69" t="s">
        <v>372</v>
      </c>
      <c r="CP43" s="104">
        <v>40</v>
      </c>
      <c r="CQ43" s="121" t="s">
        <v>364</v>
      </c>
    </row>
    <row r="44" spans="14:95" ht="16.5" customHeight="1" x14ac:dyDescent="0.25">
      <c r="N44" s="121" t="s">
        <v>261</v>
      </c>
      <c r="O44" s="69" t="s">
        <v>19</v>
      </c>
      <c r="P44" s="69" t="str">
        <f>VLOOKUP(UNIFAEL.[[#This Row],[CURSO]],'[1]POS_VIVO_0112 a 3101_CAMP. REG)'!$F$5:$G$113,2,FALSE)</f>
        <v>Tecnologia/Engenharia</v>
      </c>
      <c r="Q44" s="68">
        <f>VLOOKUP(UNIFAEL.[[#This Row],[CURSO]],'[1]POS_VIVO_0112 a 3101_CAMP. REG)'!$F$5:$H$113,3,FALSE)</f>
        <v>18</v>
      </c>
      <c r="R44" s="68">
        <f>VLOOKUP(UNIFAEL.[[#This Row],[CURSO]],'[1]POS_VIVO_0112 a 3101_CAMP. REG)'!$F$5:$I$113,4,FALSE)</f>
        <v>19</v>
      </c>
      <c r="S44" s="73">
        <f>VLOOKUP(UNIFAEL.[[#This Row],[CURSO]],'[1]POS_VIVO_0112 a 3101_CAMP. REG)'!$F$5:$J$113,5,FALSE)</f>
        <v>419.73304200000007</v>
      </c>
      <c r="T44" s="124">
        <f>VLOOKUP(UNIFAEL.[[#This Row],[CURSO]],'[1]POS_VIVO_0112 a 3101_CAMP. REG)'!$F$5:$L$113,7,FALSE)</f>
        <v>0.4</v>
      </c>
      <c r="U44" s="73">
        <f>VLOOKUP(UNIFAEL.[[#This Row],[CURSO]],'[1]POS_VIVO_0112 a 3101_CAMP. REG)'!$F$5:$M$113,8,FALSE)</f>
        <v>226.66</v>
      </c>
      <c r="V44" s="72">
        <f>VLOOKUP(UNIFAEL.[[#This Row],[CURSO]],'[1]POS_VIVO_0112 a 3101_CAMP. REG)'!$F$5:$P$113,11,FALSE)</f>
        <v>0.45</v>
      </c>
      <c r="W44" s="73">
        <f>VLOOKUP(UNIFAEL.[[#This Row],[CURSO]],'[1]POS_VIVO_0112 a 3101_CAMP. REG)'!$F$5:$Q$113,12,FALSE)</f>
        <v>207.77</v>
      </c>
      <c r="X44" s="75">
        <f>UNIFAEL.[[#This Row],[Nº Parcelas]]</f>
        <v>19</v>
      </c>
      <c r="Y44" s="75">
        <f>UNIFAEL.[[#This Row],[Nº Parcelas normal2]]-1</f>
        <v>18</v>
      </c>
      <c r="Z44" s="73">
        <f>UNIFAEL.[[#This Row],[$ NORMAL]]</f>
        <v>419.73304200000007</v>
      </c>
      <c r="AA44" s="72">
        <f>UNIFAEL.[[#This Row],[%  SITE]]</f>
        <v>0.4</v>
      </c>
      <c r="AB44" s="73">
        <f>UNIFAEL.[[#This Row],[$ SITE]]</f>
        <v>226.66</v>
      </c>
      <c r="AC44" s="72">
        <f>UNIFAEL.[[#This Row],[%  SGP]]</f>
        <v>0.45</v>
      </c>
      <c r="AD44" s="73">
        <f>UNIFAEL.[[#This Row],[$ SGP]]</f>
        <v>207.77</v>
      </c>
      <c r="AE44" s="69" t="s">
        <v>371</v>
      </c>
      <c r="AF44" s="69" t="s">
        <v>372</v>
      </c>
      <c r="AH44" s="121" t="s">
        <v>261</v>
      </c>
      <c r="AI44" s="69" t="s">
        <v>19</v>
      </c>
      <c r="AJ44" s="69" t="str">
        <f>VLOOKUP(UNAMA.[[#This Row],[PARCELA MATRICULA NÃO PAGA]],'[1]POS_VIVO_0112 a 3101_CAMP. REG)'!$F$115:$G$222,2,FALSE)</f>
        <v>Tecnologia/Engenharia</v>
      </c>
      <c r="AK44" s="69">
        <f>VLOOKUP(UNAMA.[[#This Row],[PARCELA MATRICULA NÃO PAGA]],'[1]POS_VIVO_0112 a 3101_CAMP. REG)'!$F$115:$H$222,3,FALSE)</f>
        <v>18</v>
      </c>
      <c r="AL44" s="69">
        <f>VLOOKUP(UNAMA.[[#This Row],[PARCELA MATRICULA NÃO PAGA]],'[1]POS_VIVO_0112 a 3101_CAMP. REG)'!$F$115:$I$222,4,FALSE)</f>
        <v>19</v>
      </c>
      <c r="AM44" s="73">
        <f>VLOOKUP(UNAMA.[[#This Row],[PARCELA MATRICULA NÃO PAGA]],'[1]POS_VIVO_0112 a 3101_CAMP. REG)'!$F$115:$J$222,5,FALSE)</f>
        <v>461.71054500000008</v>
      </c>
      <c r="AN44" s="123">
        <f>VLOOKUP(UNAMA.[[#This Row],[PARCELA MATRICULA NÃO PAGA]],'[1]POS_VIVO_0112 a 3101_CAMP. REG)'!$F$115:$L$222,7,FALSE)</f>
        <v>0.4</v>
      </c>
      <c r="AO44" s="73">
        <f>VLOOKUP(UNAMA.[[#This Row],[PARCELA MATRICULA NÃO PAGA]],'[1]POS_VIVO_0112 a 3101_CAMP. REG)'!$F$115:$M$222,8,FALSE)</f>
        <v>249.32</v>
      </c>
      <c r="AP44" s="72">
        <f>VLOOKUP(UNAMA.[[#This Row],[PARCELA MATRICULA NÃO PAGA]],'[1]POS_VIVO_0112 a 3101_CAMP. REG)'!$F$115:$P$222,11,FALSE)</f>
        <v>0.45</v>
      </c>
      <c r="AQ44" s="73">
        <f>VLOOKUP(UNAMA.[[#This Row],[PARCELA MATRICULA NÃO PAGA]],'[1]POS_VIVO_0112 a 3101_CAMP. REG)'!$F$115:$Q$222,12,FALSE)</f>
        <v>228.55</v>
      </c>
      <c r="AR44" s="68">
        <f>UNAMA.[[#This Row],[Nº Parcelas]]</f>
        <v>19</v>
      </c>
      <c r="AS44" s="68">
        <f>UNAMA.[[#This Row],[Nº Parcelas normal2]]-1</f>
        <v>18</v>
      </c>
      <c r="AT44" s="71">
        <f>UNAMA.[[#This Row],[$ NORMAL]]</f>
        <v>461.71054500000008</v>
      </c>
      <c r="AU44" s="162">
        <f>UNAMA.[[#This Row],[%  SITE]]</f>
        <v>0.4</v>
      </c>
      <c r="AV44" s="161">
        <f>UNAMA.[[#This Row],[$ SITE]]</f>
        <v>249.32</v>
      </c>
      <c r="AW44" s="162">
        <f>UNAMA.[[#This Row],[%  SGP]]</f>
        <v>0.45</v>
      </c>
      <c r="AX44" s="161">
        <f>UNAMA.[[#This Row],[$ SGP]]</f>
        <v>228.55</v>
      </c>
      <c r="AY44" s="69" t="s">
        <v>351</v>
      </c>
      <c r="AZ44" s="69" t="s">
        <v>372</v>
      </c>
      <c r="BB44" s="121" t="s">
        <v>261</v>
      </c>
      <c r="BC44" s="69" t="s">
        <v>19</v>
      </c>
      <c r="BD44" s="69" t="str">
        <f>VLOOKUP(UNG.[[#This Row],[CURSO]],'[1]POS_VIVO_0112 a 3101_CAMP. REG)'!$F$224:$G$331,2,FALSE)</f>
        <v>Tecnologia/Engenharia</v>
      </c>
      <c r="BE44" s="68">
        <f>VLOOKUP(UNG.[[#This Row],[CURSO]],'[1]POS_VIVO_0112 a 3101_CAMP. REG)'!$F$224:$H$331,3,FALSE)</f>
        <v>18</v>
      </c>
      <c r="BF44" s="68">
        <f>VLOOKUP(UNG.[[#This Row],[CURSO]],'[1]POS_VIVO_0112 a 3101_CAMP. REG)'!$F$224:$I$331,4,FALSE)</f>
        <v>19</v>
      </c>
      <c r="BG44" s="73">
        <f>VLOOKUP(UNG.[[#This Row],[CURSO]],'[1]POS_VIVO_0112 a 3101_CAMP. REG)'!$F$224:$J$331,5,FALSE)</f>
        <v>419.73304200000007</v>
      </c>
      <c r="BH44" s="72">
        <f>VLOOKUP(UNG.[[#This Row],[CURSO]],'[1]POS_VIVO_0112 a 3101_CAMP. REG)'!$F$224:$L$331,7,FALSE)</f>
        <v>0.4</v>
      </c>
      <c r="BI44" s="73">
        <f>VLOOKUP(UNG.[[#This Row],[CURSO]],'[1]POS_VIVO_0112 a 3101_CAMP. REG)'!$F$224:$M$331,8,FALSE)</f>
        <v>226.66</v>
      </c>
      <c r="BJ44" s="72">
        <f>VLOOKUP(UNG.[[#This Row],[CURSO]],'[1]POS_VIVO_0112 a 3101_CAMP. REG)'!$F$224:$P$331,11,FALSE)</f>
        <v>0.45</v>
      </c>
      <c r="BK44" s="73">
        <f>VLOOKUP(UNG.[[#This Row],[CURSO]],'[1]POS_VIVO_0112 a 3101_CAMP. REG)'!$F$224:$Q$331,12,FALSE)</f>
        <v>207.77</v>
      </c>
      <c r="BL44" s="75">
        <f>UNG.[[#This Row],[Nº Parcelas]]</f>
        <v>19</v>
      </c>
      <c r="BM44" s="75">
        <f>UNG.[[#This Row],[Nº Parcelas normal2]]-1</f>
        <v>18</v>
      </c>
      <c r="BN44" s="73">
        <f>UNG.[[#This Row],[$ NORMAL]]</f>
        <v>419.73304200000007</v>
      </c>
      <c r="BO44" s="72">
        <f>UNG.[[#This Row],[%  SITE]]</f>
        <v>0.4</v>
      </c>
      <c r="BP44" s="73">
        <f>UNG.[[#This Row],[$ SITE]]</f>
        <v>226.66</v>
      </c>
      <c r="BQ44" s="72">
        <f>UNG.[[#This Row],[%  SGP]]</f>
        <v>0.45</v>
      </c>
      <c r="BR44" s="73">
        <f>UNG.[[#This Row],[$ SGP]]</f>
        <v>207.77</v>
      </c>
      <c r="BS44" s="69" t="s">
        <v>351</v>
      </c>
      <c r="BT44" s="69" t="s">
        <v>372</v>
      </c>
      <c r="BV44" s="121" t="s">
        <v>261</v>
      </c>
      <c r="BW44" s="69" t="s">
        <v>19</v>
      </c>
      <c r="BX44" s="69" t="str">
        <f>VLOOKUP(UNINASSAU.[[#This Row],[CURSO]],'[1]POS_VIVO_0112 a 3101_CAMP. REG)'!$F$333:$G$447,2,FALSE)</f>
        <v>Tecnologia/Engenharia</v>
      </c>
      <c r="BY44" s="68">
        <f>VLOOKUP(UNINASSAU.[[#This Row],[CURSO]],'[1]POS_VIVO_0112 a 3101_CAMP. REG)'!$F$333:$H$447,3,FALSE)</f>
        <v>18</v>
      </c>
      <c r="BZ44" s="68">
        <f>VLOOKUP(UNINASSAU.[[#This Row],[CURSO]],'[1]POS_VIVO_0112 a 3101_CAMP. REG)'!$F$333:$I$447,4,FALSE)</f>
        <v>19</v>
      </c>
      <c r="CA44" s="73">
        <f>VLOOKUP(UNINASSAU.[[#This Row],[CURSO]],'[1]POS_VIVO_0112 a 3101_CAMP. REG)'!$F$333:$J$447,5,FALSE)</f>
        <v>419.73304200000007</v>
      </c>
      <c r="CB44" s="72">
        <f>VLOOKUP(UNINASSAU.[[#This Row],[CURSO]],'[1]POS_VIVO_0112 a 3101_CAMP. REG)'!$F$333:$L$447,7,FALSE)</f>
        <v>0.4</v>
      </c>
      <c r="CC44" s="73">
        <f>VLOOKUP(UNINASSAU.[[#This Row],[CURSO]],'[1]POS_VIVO_0112 a 3101_CAMP. REG)'!$F$333:$M$447,8,FALSE)</f>
        <v>226.66</v>
      </c>
      <c r="CD44" s="72">
        <f>VLOOKUP(UNINASSAU.[[#This Row],[CURSO]],'[1]POS_VIVO_0112 a 3101_CAMP. REG)'!$F$333:$P$447,11,FALSE)</f>
        <v>0.45</v>
      </c>
      <c r="CE44" s="73">
        <f>VLOOKUP(UNINASSAU.[[#This Row],[CURSO]],'[1]POS_VIVO_0112 a 3101_CAMP. REG)'!$F$333:$Q$447,12,FALSE)</f>
        <v>207.77</v>
      </c>
      <c r="CF44" s="75">
        <f>UNINASSAU.[[#This Row],[Nº Parcelas]]</f>
        <v>19</v>
      </c>
      <c r="CG44" s="75">
        <f>UNINASSAU.[[#This Row],[Nº Parcelas normal2]]-1</f>
        <v>18</v>
      </c>
      <c r="CH44" s="73">
        <f>UNINASSAU.[[#This Row],[$ NORMAL]]</f>
        <v>419.73304200000007</v>
      </c>
      <c r="CI44" s="72">
        <f>UNINASSAU.[[#This Row],[%  SITE]]</f>
        <v>0.4</v>
      </c>
      <c r="CJ44" s="73">
        <f>UNINASSAU.[[#This Row],[$ SITE]]</f>
        <v>226.66</v>
      </c>
      <c r="CK44" s="72">
        <f>UNINASSAU.[[#This Row],[%  SGP]]</f>
        <v>0.45</v>
      </c>
      <c r="CL44" s="73">
        <f>UNINASSAU.[[#This Row],[$ SGP]]</f>
        <v>207.77</v>
      </c>
      <c r="CM44" s="69" t="s">
        <v>351</v>
      </c>
      <c r="CN44" s="69" t="s">
        <v>372</v>
      </c>
      <c r="CP44" s="104">
        <v>41</v>
      </c>
      <c r="CQ44" s="121" t="s">
        <v>302</v>
      </c>
    </row>
    <row r="45" spans="14:95" ht="16.5" customHeight="1" x14ac:dyDescent="0.25">
      <c r="N45" s="121" t="s">
        <v>317</v>
      </c>
      <c r="O45" s="69" t="s">
        <v>19</v>
      </c>
      <c r="P45" s="69" t="str">
        <f>VLOOKUP(UNIFAEL.[[#This Row],[CURSO]],'[1]POS_VIVO_0112 a 3101_CAMP. REG)'!$F$5:$G$113,2,FALSE)</f>
        <v>Tecnologia/Engenharia</v>
      </c>
      <c r="Q45" s="68">
        <f>VLOOKUP(UNIFAEL.[[#This Row],[CURSO]],'[1]POS_VIVO_0112 a 3101_CAMP. REG)'!$F$5:$H$113,3,FALSE)</f>
        <v>18</v>
      </c>
      <c r="R45" s="68">
        <f>VLOOKUP(UNIFAEL.[[#This Row],[CURSO]],'[1]POS_VIVO_0112 a 3101_CAMP. REG)'!$F$5:$I$113,4,FALSE)</f>
        <v>19</v>
      </c>
      <c r="S45" s="73">
        <f>VLOOKUP(UNIFAEL.[[#This Row],[CURSO]],'[1]POS_VIVO_0112 a 3101_CAMP. REG)'!$F$5:$J$113,5,FALSE)</f>
        <v>320.59937400000007</v>
      </c>
      <c r="T45" s="124">
        <f>VLOOKUP(UNIFAEL.[[#This Row],[CURSO]],'[1]POS_VIVO_0112 a 3101_CAMP. REG)'!$F$5:$L$113,7,FALSE)</f>
        <v>0.4</v>
      </c>
      <c r="U45" s="73">
        <f>VLOOKUP(UNIFAEL.[[#This Row],[CURSO]],'[1]POS_VIVO_0112 a 3101_CAMP. REG)'!$F$5:$M$113,8,FALSE)</f>
        <v>173.12</v>
      </c>
      <c r="V45" s="72">
        <f>VLOOKUP(UNIFAEL.[[#This Row],[CURSO]],'[1]POS_VIVO_0112 a 3101_CAMP. REG)'!$F$5:$P$113,11,FALSE)</f>
        <v>0.45</v>
      </c>
      <c r="W45" s="73">
        <f>VLOOKUP(UNIFAEL.[[#This Row],[CURSO]],'[1]POS_VIVO_0112 a 3101_CAMP. REG)'!$F$5:$Q$113,12,FALSE)</f>
        <v>158.69999999999999</v>
      </c>
      <c r="X45" s="75">
        <f>UNIFAEL.[[#This Row],[Nº Parcelas]]</f>
        <v>19</v>
      </c>
      <c r="Y45" s="75">
        <f>UNIFAEL.[[#This Row],[Nº Parcelas normal2]]-1</f>
        <v>18</v>
      </c>
      <c r="Z45" s="73">
        <f>UNIFAEL.[[#This Row],[$ NORMAL]]</f>
        <v>320.59937400000007</v>
      </c>
      <c r="AA45" s="72">
        <f>UNIFAEL.[[#This Row],[%  SITE]]</f>
        <v>0.4</v>
      </c>
      <c r="AB45" s="73">
        <f>UNIFAEL.[[#This Row],[$ SITE]]</f>
        <v>173.12</v>
      </c>
      <c r="AC45" s="72">
        <f>UNIFAEL.[[#This Row],[%  SGP]]</f>
        <v>0.45</v>
      </c>
      <c r="AD45" s="73">
        <f>UNIFAEL.[[#This Row],[$ SGP]]</f>
        <v>158.69999999999999</v>
      </c>
      <c r="AE45" s="69" t="s">
        <v>371</v>
      </c>
      <c r="AF45" s="69" t="s">
        <v>372</v>
      </c>
      <c r="AH45" s="121" t="s">
        <v>317</v>
      </c>
      <c r="AI45" s="69" t="s">
        <v>19</v>
      </c>
      <c r="AJ45" s="69" t="str">
        <f>VLOOKUP(UNAMA.[[#This Row],[PARCELA MATRICULA NÃO PAGA]],'[1]POS_VIVO_0112 a 3101_CAMP. REG)'!$F$115:$G$222,2,FALSE)</f>
        <v>Tecnologia/Engenharia</v>
      </c>
      <c r="AK45" s="69">
        <f>VLOOKUP(UNAMA.[[#This Row],[PARCELA MATRICULA NÃO PAGA]],'[1]POS_VIVO_0112 a 3101_CAMP. REG)'!$F$115:$H$222,3,FALSE)</f>
        <v>18</v>
      </c>
      <c r="AL45" s="69">
        <f>VLOOKUP(UNAMA.[[#This Row],[PARCELA MATRICULA NÃO PAGA]],'[1]POS_VIVO_0112 a 3101_CAMP. REG)'!$F$115:$I$222,4,FALSE)</f>
        <v>19</v>
      </c>
      <c r="AM45" s="73">
        <f>VLOOKUP(UNAMA.[[#This Row],[PARCELA MATRICULA NÃO PAGA]],'[1]POS_VIVO_0112 a 3101_CAMP. REG)'!$F$115:$J$222,5,FALSE)</f>
        <v>352.66770900000006</v>
      </c>
      <c r="AN45" s="123">
        <f>VLOOKUP(UNAMA.[[#This Row],[PARCELA MATRICULA NÃO PAGA]],'[1]POS_VIVO_0112 a 3101_CAMP. REG)'!$F$115:$L$222,7,FALSE)</f>
        <v>0.4</v>
      </c>
      <c r="AO45" s="73">
        <f>VLOOKUP(UNAMA.[[#This Row],[PARCELA MATRICULA NÃO PAGA]],'[1]POS_VIVO_0112 a 3101_CAMP. REG)'!$F$115:$M$222,8,FALSE)</f>
        <v>190.44</v>
      </c>
      <c r="AP45" s="72">
        <f>VLOOKUP(UNAMA.[[#This Row],[PARCELA MATRICULA NÃO PAGA]],'[1]POS_VIVO_0112 a 3101_CAMP. REG)'!$F$115:$P$222,11,FALSE)</f>
        <v>0.45</v>
      </c>
      <c r="AQ45" s="73">
        <f>VLOOKUP(UNAMA.[[#This Row],[PARCELA MATRICULA NÃO PAGA]],'[1]POS_VIVO_0112 a 3101_CAMP. REG)'!$F$115:$Q$222,12,FALSE)</f>
        <v>174.57</v>
      </c>
      <c r="AR45" s="68">
        <f>UNAMA.[[#This Row],[Nº Parcelas]]</f>
        <v>19</v>
      </c>
      <c r="AS45" s="68">
        <f>UNAMA.[[#This Row],[Nº Parcelas normal2]]-1</f>
        <v>18</v>
      </c>
      <c r="AT45" s="71">
        <f>UNAMA.[[#This Row],[$ NORMAL]]</f>
        <v>352.66770900000006</v>
      </c>
      <c r="AU45" s="162">
        <f>UNAMA.[[#This Row],[%  SITE]]</f>
        <v>0.4</v>
      </c>
      <c r="AV45" s="161">
        <f>UNAMA.[[#This Row],[$ SITE]]</f>
        <v>190.44</v>
      </c>
      <c r="AW45" s="162">
        <f>UNAMA.[[#This Row],[%  SGP]]</f>
        <v>0.45</v>
      </c>
      <c r="AX45" s="161">
        <f>UNAMA.[[#This Row],[$ SGP]]</f>
        <v>174.57</v>
      </c>
      <c r="AY45" s="69" t="s">
        <v>351</v>
      </c>
      <c r="AZ45" s="69" t="s">
        <v>372</v>
      </c>
      <c r="BB45" s="121" t="s">
        <v>317</v>
      </c>
      <c r="BC45" s="69" t="s">
        <v>19</v>
      </c>
      <c r="BD45" s="69" t="str">
        <f>VLOOKUP(UNG.[[#This Row],[CURSO]],'[1]POS_VIVO_0112 a 3101_CAMP. REG)'!$F$224:$G$331,2,FALSE)</f>
        <v>Tecnologia/Engenharia</v>
      </c>
      <c r="BE45" s="68">
        <f>VLOOKUP(UNG.[[#This Row],[CURSO]],'[1]POS_VIVO_0112 a 3101_CAMP. REG)'!$F$224:$H$331,3,FALSE)</f>
        <v>18</v>
      </c>
      <c r="BF45" s="68">
        <f>VLOOKUP(UNG.[[#This Row],[CURSO]],'[1]POS_VIVO_0112 a 3101_CAMP. REG)'!$F$224:$I$331,4,FALSE)</f>
        <v>19</v>
      </c>
      <c r="BG45" s="73">
        <f>VLOOKUP(UNG.[[#This Row],[CURSO]],'[1]POS_VIVO_0112 a 3101_CAMP. REG)'!$F$224:$J$331,5,FALSE)</f>
        <v>320.59937400000007</v>
      </c>
      <c r="BH45" s="72">
        <f>VLOOKUP(UNG.[[#This Row],[CURSO]],'[1]POS_VIVO_0112 a 3101_CAMP. REG)'!$F$224:$L$331,7,FALSE)</f>
        <v>0.4</v>
      </c>
      <c r="BI45" s="73">
        <f>VLOOKUP(UNG.[[#This Row],[CURSO]],'[1]POS_VIVO_0112 a 3101_CAMP. REG)'!$F$224:$M$331,8,FALSE)</f>
        <v>173.12</v>
      </c>
      <c r="BJ45" s="72">
        <f>VLOOKUP(UNG.[[#This Row],[CURSO]],'[1]POS_VIVO_0112 a 3101_CAMP. REG)'!$F$224:$P$331,11,FALSE)</f>
        <v>0.45</v>
      </c>
      <c r="BK45" s="73">
        <f>VLOOKUP(UNG.[[#This Row],[CURSO]],'[1]POS_VIVO_0112 a 3101_CAMP. REG)'!$F$224:$Q$331,12,FALSE)</f>
        <v>158.69999999999999</v>
      </c>
      <c r="BL45" s="75">
        <f>UNG.[[#This Row],[Nº Parcelas]]</f>
        <v>19</v>
      </c>
      <c r="BM45" s="75">
        <f>UNG.[[#This Row],[Nº Parcelas normal2]]-1</f>
        <v>18</v>
      </c>
      <c r="BN45" s="73">
        <f>UNG.[[#This Row],[$ NORMAL]]</f>
        <v>320.59937400000007</v>
      </c>
      <c r="BO45" s="72">
        <f>UNG.[[#This Row],[%  SITE]]</f>
        <v>0.4</v>
      </c>
      <c r="BP45" s="73">
        <f>UNG.[[#This Row],[$ SITE]]</f>
        <v>173.12</v>
      </c>
      <c r="BQ45" s="72">
        <f>UNG.[[#This Row],[%  SGP]]</f>
        <v>0.45</v>
      </c>
      <c r="BR45" s="73">
        <f>UNG.[[#This Row],[$ SGP]]</f>
        <v>158.69999999999999</v>
      </c>
      <c r="BS45" s="69" t="s">
        <v>351</v>
      </c>
      <c r="BT45" s="69" t="s">
        <v>372</v>
      </c>
      <c r="BV45" s="121" t="s">
        <v>317</v>
      </c>
      <c r="BW45" s="69" t="s">
        <v>19</v>
      </c>
      <c r="BX45" s="69" t="str">
        <f>VLOOKUP(UNINASSAU.[[#This Row],[CURSO]],'[1]POS_VIVO_0112 a 3101_CAMP. REG)'!$F$333:$G$447,2,FALSE)</f>
        <v>Tecnologia/Engenharia</v>
      </c>
      <c r="BY45" s="68">
        <f>VLOOKUP(UNINASSAU.[[#This Row],[CURSO]],'[1]POS_VIVO_0112 a 3101_CAMP. REG)'!$F$333:$H$447,3,FALSE)</f>
        <v>18</v>
      </c>
      <c r="BZ45" s="68">
        <f>VLOOKUP(UNINASSAU.[[#This Row],[CURSO]],'[1]POS_VIVO_0112 a 3101_CAMP. REG)'!$F$333:$I$447,4,FALSE)</f>
        <v>19</v>
      </c>
      <c r="CA45" s="73">
        <f>VLOOKUP(UNINASSAU.[[#This Row],[CURSO]],'[1]POS_VIVO_0112 a 3101_CAMP. REG)'!$F$333:$J$447,5,FALSE)</f>
        <v>320.59937400000007</v>
      </c>
      <c r="CB45" s="72">
        <f>VLOOKUP(UNINASSAU.[[#This Row],[CURSO]],'[1]POS_VIVO_0112 a 3101_CAMP. REG)'!$F$333:$L$447,7,FALSE)</f>
        <v>0.4</v>
      </c>
      <c r="CC45" s="73">
        <f>VLOOKUP(UNINASSAU.[[#This Row],[CURSO]],'[1]POS_VIVO_0112 a 3101_CAMP. REG)'!$F$333:$M$447,8,FALSE)</f>
        <v>173.12</v>
      </c>
      <c r="CD45" s="72">
        <f>VLOOKUP(UNINASSAU.[[#This Row],[CURSO]],'[1]POS_VIVO_0112 a 3101_CAMP. REG)'!$F$333:$P$447,11,FALSE)</f>
        <v>0.45</v>
      </c>
      <c r="CE45" s="73">
        <f>VLOOKUP(UNINASSAU.[[#This Row],[CURSO]],'[1]POS_VIVO_0112 a 3101_CAMP. REG)'!$F$333:$Q$447,12,FALSE)</f>
        <v>158.69999999999999</v>
      </c>
      <c r="CF45" s="75">
        <f>UNINASSAU.[[#This Row],[Nº Parcelas]]</f>
        <v>19</v>
      </c>
      <c r="CG45" s="75">
        <f>UNINASSAU.[[#This Row],[Nº Parcelas normal2]]-1</f>
        <v>18</v>
      </c>
      <c r="CH45" s="73">
        <f>UNINASSAU.[[#This Row],[$ NORMAL]]</f>
        <v>320.59937400000007</v>
      </c>
      <c r="CI45" s="72">
        <f>UNINASSAU.[[#This Row],[%  SITE]]</f>
        <v>0.4</v>
      </c>
      <c r="CJ45" s="73">
        <f>UNINASSAU.[[#This Row],[$ SITE]]</f>
        <v>173.12</v>
      </c>
      <c r="CK45" s="72">
        <f>UNINASSAU.[[#This Row],[%  SGP]]</f>
        <v>0.45</v>
      </c>
      <c r="CL45" s="73">
        <f>UNINASSAU.[[#This Row],[$ SGP]]</f>
        <v>158.69999999999999</v>
      </c>
      <c r="CM45" s="69" t="s">
        <v>351</v>
      </c>
      <c r="CN45" s="69" t="s">
        <v>372</v>
      </c>
      <c r="CP45" s="104">
        <v>42</v>
      </c>
      <c r="CQ45" s="121" t="s">
        <v>265</v>
      </c>
    </row>
    <row r="46" spans="14:95" ht="16.5" customHeight="1" x14ac:dyDescent="0.25">
      <c r="N46" s="121" t="s">
        <v>300</v>
      </c>
      <c r="O46" s="69" t="s">
        <v>19</v>
      </c>
      <c r="P46" s="69" t="str">
        <f>VLOOKUP(UNIFAEL.[[#This Row],[CURSO]],'[1]POS_VIVO_0112 a 3101_CAMP. REG)'!$F$5:$G$113,2,FALSE)</f>
        <v>Tecnologia/Engenharia</v>
      </c>
      <c r="Q46" s="68">
        <f>VLOOKUP(UNIFAEL.[[#This Row],[CURSO]],'[1]POS_VIVO_0112 a 3101_CAMP. REG)'!$F$5:$H$113,3,FALSE)</f>
        <v>18</v>
      </c>
      <c r="R46" s="68">
        <f>VLOOKUP(UNIFAEL.[[#This Row],[CURSO]],'[1]POS_VIVO_0112 a 3101_CAMP. REG)'!$F$5:$I$113,4,FALSE)</f>
        <v>19</v>
      </c>
      <c r="S46" s="73">
        <f>VLOOKUP(UNIFAEL.[[#This Row],[CURSO]],'[1]POS_VIVO_0112 a 3101_CAMP. REG)'!$F$5:$J$113,5,FALSE)</f>
        <v>320.59937400000007</v>
      </c>
      <c r="T46" s="124">
        <f>VLOOKUP(UNIFAEL.[[#This Row],[CURSO]],'[1]POS_VIVO_0112 a 3101_CAMP. REG)'!$F$5:$L$113,7,FALSE)</f>
        <v>0.4</v>
      </c>
      <c r="U46" s="73">
        <f>VLOOKUP(UNIFAEL.[[#This Row],[CURSO]],'[1]POS_VIVO_0112 a 3101_CAMP. REG)'!$F$5:$M$113,8,FALSE)</f>
        <v>173.12</v>
      </c>
      <c r="V46" s="72">
        <f>VLOOKUP(UNIFAEL.[[#This Row],[CURSO]],'[1]POS_VIVO_0112 a 3101_CAMP. REG)'!$F$5:$P$113,11,FALSE)</f>
        <v>0.45</v>
      </c>
      <c r="W46" s="73">
        <f>VLOOKUP(UNIFAEL.[[#This Row],[CURSO]],'[1]POS_VIVO_0112 a 3101_CAMP. REG)'!$F$5:$Q$113,12,FALSE)</f>
        <v>158.69999999999999</v>
      </c>
      <c r="X46" s="75">
        <f>UNIFAEL.[[#This Row],[Nº Parcelas]]</f>
        <v>19</v>
      </c>
      <c r="Y46" s="75">
        <f>UNIFAEL.[[#This Row],[Nº Parcelas normal2]]-1</f>
        <v>18</v>
      </c>
      <c r="Z46" s="73">
        <f>UNIFAEL.[[#This Row],[$ NORMAL]]</f>
        <v>320.59937400000007</v>
      </c>
      <c r="AA46" s="72">
        <f>UNIFAEL.[[#This Row],[%  SITE]]</f>
        <v>0.4</v>
      </c>
      <c r="AB46" s="73">
        <f>UNIFAEL.[[#This Row],[$ SITE]]</f>
        <v>173.12</v>
      </c>
      <c r="AC46" s="72">
        <f>UNIFAEL.[[#This Row],[%  SGP]]</f>
        <v>0.45</v>
      </c>
      <c r="AD46" s="73">
        <f>UNIFAEL.[[#This Row],[$ SGP]]</f>
        <v>158.69999999999999</v>
      </c>
      <c r="AE46" s="69" t="s">
        <v>371</v>
      </c>
      <c r="AF46" s="69" t="s">
        <v>372</v>
      </c>
      <c r="AH46" s="121" t="s">
        <v>300</v>
      </c>
      <c r="AI46" s="69" t="s">
        <v>19</v>
      </c>
      <c r="AJ46" s="69" t="str">
        <f>VLOOKUP(UNAMA.[[#This Row],[PARCELA MATRICULA NÃO PAGA]],'[1]POS_VIVO_0112 a 3101_CAMP. REG)'!$F$115:$G$222,2,FALSE)</f>
        <v>Tecnologia/Engenharia</v>
      </c>
      <c r="AK46" s="69">
        <f>VLOOKUP(UNAMA.[[#This Row],[PARCELA MATRICULA NÃO PAGA]],'[1]POS_VIVO_0112 a 3101_CAMP. REG)'!$F$115:$H$222,3,FALSE)</f>
        <v>18</v>
      </c>
      <c r="AL46" s="69">
        <f>VLOOKUP(UNAMA.[[#This Row],[PARCELA MATRICULA NÃO PAGA]],'[1]POS_VIVO_0112 a 3101_CAMP. REG)'!$F$115:$I$222,4,FALSE)</f>
        <v>19</v>
      </c>
      <c r="AM46" s="73">
        <f>VLOOKUP(UNAMA.[[#This Row],[PARCELA MATRICULA NÃO PAGA]],'[1]POS_VIVO_0112 a 3101_CAMP. REG)'!$F$115:$J$222,5,FALSE)</f>
        <v>352.66770900000006</v>
      </c>
      <c r="AN46" s="123">
        <f>VLOOKUP(UNAMA.[[#This Row],[PARCELA MATRICULA NÃO PAGA]],'[1]POS_VIVO_0112 a 3101_CAMP. REG)'!$F$115:$L$222,7,FALSE)</f>
        <v>0.4</v>
      </c>
      <c r="AO46" s="73">
        <f>VLOOKUP(UNAMA.[[#This Row],[PARCELA MATRICULA NÃO PAGA]],'[1]POS_VIVO_0112 a 3101_CAMP. REG)'!$F$115:$M$222,8,FALSE)</f>
        <v>190.44</v>
      </c>
      <c r="AP46" s="72">
        <f>VLOOKUP(UNAMA.[[#This Row],[PARCELA MATRICULA NÃO PAGA]],'[1]POS_VIVO_0112 a 3101_CAMP. REG)'!$F$115:$P$222,11,FALSE)</f>
        <v>0.45</v>
      </c>
      <c r="AQ46" s="73">
        <f>VLOOKUP(UNAMA.[[#This Row],[PARCELA MATRICULA NÃO PAGA]],'[1]POS_VIVO_0112 a 3101_CAMP. REG)'!$F$115:$Q$222,12,FALSE)</f>
        <v>174.57</v>
      </c>
      <c r="AR46" s="68">
        <f>UNAMA.[[#This Row],[Nº Parcelas]]</f>
        <v>19</v>
      </c>
      <c r="AS46" s="68">
        <f>UNAMA.[[#This Row],[Nº Parcelas normal2]]-1</f>
        <v>18</v>
      </c>
      <c r="AT46" s="71">
        <f>UNAMA.[[#This Row],[$ NORMAL]]</f>
        <v>352.66770900000006</v>
      </c>
      <c r="AU46" s="162">
        <f>UNAMA.[[#This Row],[%  SITE]]</f>
        <v>0.4</v>
      </c>
      <c r="AV46" s="161">
        <f>UNAMA.[[#This Row],[$ SITE]]</f>
        <v>190.44</v>
      </c>
      <c r="AW46" s="162">
        <f>UNAMA.[[#This Row],[%  SGP]]</f>
        <v>0.45</v>
      </c>
      <c r="AX46" s="161">
        <f>UNAMA.[[#This Row],[$ SGP]]</f>
        <v>174.57</v>
      </c>
      <c r="AY46" s="69" t="s">
        <v>351</v>
      </c>
      <c r="AZ46" s="69" t="s">
        <v>372</v>
      </c>
      <c r="BB46" s="121" t="s">
        <v>300</v>
      </c>
      <c r="BC46" s="69" t="s">
        <v>19</v>
      </c>
      <c r="BD46" s="69" t="str">
        <f>VLOOKUP(UNG.[[#This Row],[CURSO]],'[1]POS_VIVO_0112 a 3101_CAMP. REG)'!$F$224:$G$331,2,FALSE)</f>
        <v>Tecnologia/Engenharia</v>
      </c>
      <c r="BE46" s="68">
        <f>VLOOKUP(UNG.[[#This Row],[CURSO]],'[1]POS_VIVO_0112 a 3101_CAMP. REG)'!$F$224:$H$331,3,FALSE)</f>
        <v>18</v>
      </c>
      <c r="BF46" s="68">
        <f>VLOOKUP(UNG.[[#This Row],[CURSO]],'[1]POS_VIVO_0112 a 3101_CAMP. REG)'!$F$224:$I$331,4,FALSE)</f>
        <v>19</v>
      </c>
      <c r="BG46" s="73">
        <f>VLOOKUP(UNG.[[#This Row],[CURSO]],'[1]POS_VIVO_0112 a 3101_CAMP. REG)'!$F$224:$J$331,5,FALSE)</f>
        <v>320.59937400000007</v>
      </c>
      <c r="BH46" s="72">
        <f>VLOOKUP(UNG.[[#This Row],[CURSO]],'[1]POS_VIVO_0112 a 3101_CAMP. REG)'!$F$224:$L$331,7,FALSE)</f>
        <v>0.4</v>
      </c>
      <c r="BI46" s="73">
        <f>VLOOKUP(UNG.[[#This Row],[CURSO]],'[1]POS_VIVO_0112 a 3101_CAMP. REG)'!$F$224:$M$331,8,FALSE)</f>
        <v>173.12</v>
      </c>
      <c r="BJ46" s="72">
        <f>VLOOKUP(UNG.[[#This Row],[CURSO]],'[1]POS_VIVO_0112 a 3101_CAMP. REG)'!$F$224:$P$331,11,FALSE)</f>
        <v>0.45</v>
      </c>
      <c r="BK46" s="73">
        <f>VLOOKUP(UNG.[[#This Row],[CURSO]],'[1]POS_VIVO_0112 a 3101_CAMP. REG)'!$F$224:$Q$331,12,FALSE)</f>
        <v>158.69999999999999</v>
      </c>
      <c r="BL46" s="75">
        <f>UNG.[[#This Row],[Nº Parcelas]]</f>
        <v>19</v>
      </c>
      <c r="BM46" s="75">
        <f>UNG.[[#This Row],[Nº Parcelas normal2]]-1</f>
        <v>18</v>
      </c>
      <c r="BN46" s="73">
        <f>UNG.[[#This Row],[$ NORMAL]]</f>
        <v>320.59937400000007</v>
      </c>
      <c r="BO46" s="72">
        <f>UNG.[[#This Row],[%  SITE]]</f>
        <v>0.4</v>
      </c>
      <c r="BP46" s="73">
        <f>UNG.[[#This Row],[$ SITE]]</f>
        <v>173.12</v>
      </c>
      <c r="BQ46" s="72">
        <f>UNG.[[#This Row],[%  SGP]]</f>
        <v>0.45</v>
      </c>
      <c r="BR46" s="73">
        <f>UNG.[[#This Row],[$ SGP]]</f>
        <v>158.69999999999999</v>
      </c>
      <c r="BS46" s="69" t="s">
        <v>351</v>
      </c>
      <c r="BT46" s="69" t="s">
        <v>372</v>
      </c>
      <c r="BV46" s="121" t="s">
        <v>300</v>
      </c>
      <c r="BW46" s="69" t="s">
        <v>19</v>
      </c>
      <c r="BX46" s="69" t="str">
        <f>VLOOKUP(UNINASSAU.[[#This Row],[CURSO]],'[1]POS_VIVO_0112 a 3101_CAMP. REG)'!$F$333:$G$447,2,FALSE)</f>
        <v>Tecnologia/Engenharia</v>
      </c>
      <c r="BY46" s="68">
        <f>VLOOKUP(UNINASSAU.[[#This Row],[CURSO]],'[1]POS_VIVO_0112 a 3101_CAMP. REG)'!$F$333:$H$447,3,FALSE)</f>
        <v>18</v>
      </c>
      <c r="BZ46" s="68">
        <f>VLOOKUP(UNINASSAU.[[#This Row],[CURSO]],'[1]POS_VIVO_0112 a 3101_CAMP. REG)'!$F$333:$I$447,4,FALSE)</f>
        <v>19</v>
      </c>
      <c r="CA46" s="73">
        <f>VLOOKUP(UNINASSAU.[[#This Row],[CURSO]],'[1]POS_VIVO_0112 a 3101_CAMP. REG)'!$F$333:$J$447,5,FALSE)</f>
        <v>320.59937400000007</v>
      </c>
      <c r="CB46" s="72">
        <f>VLOOKUP(UNINASSAU.[[#This Row],[CURSO]],'[1]POS_VIVO_0112 a 3101_CAMP. REG)'!$F$333:$L$447,7,FALSE)</f>
        <v>0.4</v>
      </c>
      <c r="CC46" s="73">
        <f>VLOOKUP(UNINASSAU.[[#This Row],[CURSO]],'[1]POS_VIVO_0112 a 3101_CAMP. REG)'!$F$333:$M$447,8,FALSE)</f>
        <v>173.12</v>
      </c>
      <c r="CD46" s="72">
        <f>VLOOKUP(UNINASSAU.[[#This Row],[CURSO]],'[1]POS_VIVO_0112 a 3101_CAMP. REG)'!$F$333:$P$447,11,FALSE)</f>
        <v>0.45</v>
      </c>
      <c r="CE46" s="73">
        <f>VLOOKUP(UNINASSAU.[[#This Row],[CURSO]],'[1]POS_VIVO_0112 a 3101_CAMP. REG)'!$F$333:$Q$447,12,FALSE)</f>
        <v>158.69999999999999</v>
      </c>
      <c r="CF46" s="75">
        <f>UNINASSAU.[[#This Row],[Nº Parcelas]]</f>
        <v>19</v>
      </c>
      <c r="CG46" s="75">
        <f>UNINASSAU.[[#This Row],[Nº Parcelas normal2]]-1</f>
        <v>18</v>
      </c>
      <c r="CH46" s="73">
        <f>UNINASSAU.[[#This Row],[$ NORMAL]]</f>
        <v>320.59937400000007</v>
      </c>
      <c r="CI46" s="72">
        <f>UNINASSAU.[[#This Row],[%  SITE]]</f>
        <v>0.4</v>
      </c>
      <c r="CJ46" s="73">
        <f>UNINASSAU.[[#This Row],[$ SITE]]</f>
        <v>173.12</v>
      </c>
      <c r="CK46" s="72">
        <f>UNINASSAU.[[#This Row],[%  SGP]]</f>
        <v>0.45</v>
      </c>
      <c r="CL46" s="73">
        <f>UNINASSAU.[[#This Row],[$ SGP]]</f>
        <v>158.69999999999999</v>
      </c>
      <c r="CM46" s="69" t="s">
        <v>351</v>
      </c>
      <c r="CN46" s="69" t="s">
        <v>372</v>
      </c>
      <c r="CP46" s="104">
        <v>43</v>
      </c>
      <c r="CQ46" s="121" t="s">
        <v>305</v>
      </c>
    </row>
    <row r="47" spans="14:95" ht="16.5" customHeight="1" x14ac:dyDescent="0.25">
      <c r="N47" s="121" t="s">
        <v>329</v>
      </c>
      <c r="O47" s="69" t="s">
        <v>19</v>
      </c>
      <c r="P47" s="69" t="str">
        <f>VLOOKUP(UNIFAEL.[[#This Row],[CURSO]],'[1]POS_VIVO_0112 a 3101_CAMP. REG)'!$F$5:$G$113,2,FALSE)</f>
        <v>Saúde</v>
      </c>
      <c r="Q47" s="68">
        <f>VLOOKUP(UNIFAEL.[[#This Row],[CURSO]],'[1]POS_VIVO_0112 a 3101_CAMP. REG)'!$F$5:$H$113,3,FALSE)</f>
        <v>18</v>
      </c>
      <c r="R47" s="68">
        <f>VLOOKUP(UNIFAEL.[[#This Row],[CURSO]],'[1]POS_VIVO_0112 a 3101_CAMP. REG)'!$F$5:$I$113,4,FALSE)</f>
        <v>19</v>
      </c>
      <c r="S47" s="73">
        <f>VLOOKUP(UNIFAEL.[[#This Row],[CURSO]],'[1]POS_VIVO_0112 a 3101_CAMP. REG)'!$F$5:$J$113,5,FALSE)</f>
        <v>419.73304200000007</v>
      </c>
      <c r="T47" s="124">
        <f>VLOOKUP(UNIFAEL.[[#This Row],[CURSO]],'[1]POS_VIVO_0112 a 3101_CAMP. REG)'!$F$5:$L$113,7,FALSE)</f>
        <v>0.4</v>
      </c>
      <c r="U47" s="73">
        <f>VLOOKUP(UNIFAEL.[[#This Row],[CURSO]],'[1]POS_VIVO_0112 a 3101_CAMP. REG)'!$F$5:$M$113,8,FALSE)</f>
        <v>226.66</v>
      </c>
      <c r="V47" s="72">
        <f>VLOOKUP(UNIFAEL.[[#This Row],[CURSO]],'[1]POS_VIVO_0112 a 3101_CAMP. REG)'!$F$5:$P$113,11,FALSE)</f>
        <v>0.45</v>
      </c>
      <c r="W47" s="73">
        <f>VLOOKUP(UNIFAEL.[[#This Row],[CURSO]],'[1]POS_VIVO_0112 a 3101_CAMP. REG)'!$F$5:$Q$113,12,FALSE)</f>
        <v>207.77</v>
      </c>
      <c r="X47" s="75">
        <f>UNIFAEL.[[#This Row],[Nº Parcelas]]</f>
        <v>19</v>
      </c>
      <c r="Y47" s="75">
        <f>UNIFAEL.[[#This Row],[Nº Parcelas normal2]]-1</f>
        <v>18</v>
      </c>
      <c r="Z47" s="73">
        <f>UNIFAEL.[[#This Row],[$ NORMAL]]</f>
        <v>419.73304200000007</v>
      </c>
      <c r="AA47" s="72">
        <f>UNIFAEL.[[#This Row],[%  SITE]]</f>
        <v>0.4</v>
      </c>
      <c r="AB47" s="73">
        <f>UNIFAEL.[[#This Row],[$ SITE]]</f>
        <v>226.66</v>
      </c>
      <c r="AC47" s="72">
        <f>UNIFAEL.[[#This Row],[%  SGP]]</f>
        <v>0.45</v>
      </c>
      <c r="AD47" s="73">
        <f>UNIFAEL.[[#This Row],[$ SGP]]</f>
        <v>207.77</v>
      </c>
      <c r="AE47" s="69" t="s">
        <v>371</v>
      </c>
      <c r="AF47" s="69" t="s">
        <v>372</v>
      </c>
      <c r="AH47" s="121" t="s">
        <v>329</v>
      </c>
      <c r="AI47" s="69" t="s">
        <v>19</v>
      </c>
      <c r="AJ47" s="69" t="str">
        <f>VLOOKUP(UNAMA.[[#This Row],[PARCELA MATRICULA NÃO PAGA]],'[1]POS_VIVO_0112 a 3101_CAMP. REG)'!$F$115:$G$222,2,FALSE)</f>
        <v>Saúde</v>
      </c>
      <c r="AK47" s="69">
        <f>VLOOKUP(UNAMA.[[#This Row],[PARCELA MATRICULA NÃO PAGA]],'[1]POS_VIVO_0112 a 3101_CAMP. REG)'!$F$115:$H$222,3,FALSE)</f>
        <v>18</v>
      </c>
      <c r="AL47" s="69">
        <f>VLOOKUP(UNAMA.[[#This Row],[PARCELA MATRICULA NÃO PAGA]],'[1]POS_VIVO_0112 a 3101_CAMP. REG)'!$F$115:$I$222,4,FALSE)</f>
        <v>19</v>
      </c>
      <c r="AM47" s="73">
        <f>VLOOKUP(UNAMA.[[#This Row],[PARCELA MATRICULA NÃO PAGA]],'[1]POS_VIVO_0112 a 3101_CAMP. REG)'!$F$115:$J$222,5,FALSE)</f>
        <v>461.71054500000008</v>
      </c>
      <c r="AN47" s="123">
        <f>VLOOKUP(UNAMA.[[#This Row],[PARCELA MATRICULA NÃO PAGA]],'[1]POS_VIVO_0112 a 3101_CAMP. REG)'!$F$115:$L$222,7,FALSE)</f>
        <v>0.4</v>
      </c>
      <c r="AO47" s="73">
        <f>VLOOKUP(UNAMA.[[#This Row],[PARCELA MATRICULA NÃO PAGA]],'[1]POS_VIVO_0112 a 3101_CAMP. REG)'!$F$115:$M$222,8,FALSE)</f>
        <v>249.32</v>
      </c>
      <c r="AP47" s="72">
        <f>VLOOKUP(UNAMA.[[#This Row],[PARCELA MATRICULA NÃO PAGA]],'[1]POS_VIVO_0112 a 3101_CAMP. REG)'!$F$115:$P$222,11,FALSE)</f>
        <v>0.45</v>
      </c>
      <c r="AQ47" s="73">
        <f>VLOOKUP(UNAMA.[[#This Row],[PARCELA MATRICULA NÃO PAGA]],'[1]POS_VIVO_0112 a 3101_CAMP. REG)'!$F$115:$Q$222,12,FALSE)</f>
        <v>228.55</v>
      </c>
      <c r="AR47" s="68">
        <f>UNAMA.[[#This Row],[Nº Parcelas]]</f>
        <v>19</v>
      </c>
      <c r="AS47" s="68">
        <f>UNAMA.[[#This Row],[Nº Parcelas normal2]]-1</f>
        <v>18</v>
      </c>
      <c r="AT47" s="71">
        <f>UNAMA.[[#This Row],[$ NORMAL]]</f>
        <v>461.71054500000008</v>
      </c>
      <c r="AU47" s="162">
        <f>UNAMA.[[#This Row],[%  SITE]]</f>
        <v>0.4</v>
      </c>
      <c r="AV47" s="161">
        <f>UNAMA.[[#This Row],[$ SITE]]</f>
        <v>249.32</v>
      </c>
      <c r="AW47" s="162">
        <f>UNAMA.[[#This Row],[%  SGP]]</f>
        <v>0.45</v>
      </c>
      <c r="AX47" s="161">
        <f>UNAMA.[[#This Row],[$ SGP]]</f>
        <v>228.55</v>
      </c>
      <c r="AY47" s="69" t="s">
        <v>351</v>
      </c>
      <c r="AZ47" s="69" t="s">
        <v>372</v>
      </c>
      <c r="BB47" s="121" t="s">
        <v>329</v>
      </c>
      <c r="BC47" s="69" t="s">
        <v>19</v>
      </c>
      <c r="BD47" s="68" t="str">
        <f>VLOOKUP(UNG.[[#This Row],[CURSO]],'[1]POS_VIVO_0112 a 3101_CAMP. REG)'!$F$224:$G$331,2,FALSE)</f>
        <v>Saúde</v>
      </c>
      <c r="BE47" s="70">
        <f>VLOOKUP(UNG.[[#This Row],[CURSO]],'[1]POS_VIVO_0112 a 3101_CAMP. REG)'!$F$224:$H$331,3,FALSE)</f>
        <v>18</v>
      </c>
      <c r="BF47" s="70">
        <f>VLOOKUP(UNG.[[#This Row],[CURSO]],'[1]POS_VIVO_0112 a 3101_CAMP. REG)'!$F$224:$I$331,4,FALSE)</f>
        <v>19</v>
      </c>
      <c r="BG47" s="73">
        <f>VLOOKUP(UNG.[[#This Row],[CURSO]],'[1]POS_VIVO_0112 a 3101_CAMP. REG)'!$F$224:$J$331,5,FALSE)</f>
        <v>419.73304200000007</v>
      </c>
      <c r="BH47" s="72">
        <f>VLOOKUP(UNG.[[#This Row],[CURSO]],'[1]POS_VIVO_0112 a 3101_CAMP. REG)'!$F$224:$L$331,7,FALSE)</f>
        <v>0.4</v>
      </c>
      <c r="BI47" s="73">
        <f>VLOOKUP(UNG.[[#This Row],[CURSO]],'[1]POS_VIVO_0112 a 3101_CAMP. REG)'!$F$224:$M$331,8,FALSE)</f>
        <v>226.66</v>
      </c>
      <c r="BJ47" s="72">
        <f>VLOOKUP(UNG.[[#This Row],[CURSO]],'[1]POS_VIVO_0112 a 3101_CAMP. REG)'!$F$224:$P$331,11,FALSE)</f>
        <v>0.45</v>
      </c>
      <c r="BK47" s="73">
        <f>VLOOKUP(UNG.[[#This Row],[CURSO]],'[1]POS_VIVO_0112 a 3101_CAMP. REG)'!$F$224:$Q$331,12,FALSE)</f>
        <v>207.77</v>
      </c>
      <c r="BL47" s="75">
        <f>UNG.[[#This Row],[Nº Parcelas]]</f>
        <v>19</v>
      </c>
      <c r="BM47" s="75">
        <f>UNG.[[#This Row],[Nº Parcelas normal2]]-1</f>
        <v>18</v>
      </c>
      <c r="BN47" s="73">
        <f>UNG.[[#This Row],[$ NORMAL]]</f>
        <v>419.73304200000007</v>
      </c>
      <c r="BO47" s="72">
        <f>UNG.[[#This Row],[%  SITE]]</f>
        <v>0.4</v>
      </c>
      <c r="BP47" s="73">
        <f>UNG.[[#This Row],[$ SITE]]</f>
        <v>226.66</v>
      </c>
      <c r="BQ47" s="72">
        <f>UNG.[[#This Row],[%  SGP]]</f>
        <v>0.45</v>
      </c>
      <c r="BR47" s="73">
        <f>UNG.[[#This Row],[$ SGP]]</f>
        <v>207.77</v>
      </c>
      <c r="BS47" s="69" t="s">
        <v>351</v>
      </c>
      <c r="BT47" s="69" t="s">
        <v>372</v>
      </c>
      <c r="BV47" s="121" t="s">
        <v>329</v>
      </c>
      <c r="BW47" s="69" t="s">
        <v>19</v>
      </c>
      <c r="BX47" s="69" t="str">
        <f>VLOOKUP(UNINASSAU.[[#This Row],[CURSO]],'[1]POS_VIVO_0112 a 3101_CAMP. REG)'!$F$333:$G$447,2,FALSE)</f>
        <v>Saúde</v>
      </c>
      <c r="BY47" s="68">
        <f>VLOOKUP(UNINASSAU.[[#This Row],[CURSO]],'[1]POS_VIVO_0112 a 3101_CAMP. REG)'!$F$333:$H$447,3,FALSE)</f>
        <v>18</v>
      </c>
      <c r="BZ47" s="68">
        <f>VLOOKUP(UNINASSAU.[[#This Row],[CURSO]],'[1]POS_VIVO_0112 a 3101_CAMP. REG)'!$F$333:$I$447,4,FALSE)</f>
        <v>19</v>
      </c>
      <c r="CA47" s="73">
        <f>VLOOKUP(UNINASSAU.[[#This Row],[CURSO]],'[1]POS_VIVO_0112 a 3101_CAMP. REG)'!$F$333:$J$447,5,FALSE)</f>
        <v>419.73304200000007</v>
      </c>
      <c r="CB47" s="72">
        <f>VLOOKUP(UNINASSAU.[[#This Row],[CURSO]],'[1]POS_VIVO_0112 a 3101_CAMP. REG)'!$F$333:$L$447,7,FALSE)</f>
        <v>0.4</v>
      </c>
      <c r="CC47" s="73">
        <f>VLOOKUP(UNINASSAU.[[#This Row],[CURSO]],'[1]POS_VIVO_0112 a 3101_CAMP. REG)'!$F$333:$M$447,8,FALSE)</f>
        <v>226.66</v>
      </c>
      <c r="CD47" s="72">
        <f>VLOOKUP(UNINASSAU.[[#This Row],[CURSO]],'[1]POS_VIVO_0112 a 3101_CAMP. REG)'!$F$333:$P$447,11,FALSE)</f>
        <v>0.45</v>
      </c>
      <c r="CE47" s="73">
        <f>VLOOKUP(UNINASSAU.[[#This Row],[CURSO]],'[1]POS_VIVO_0112 a 3101_CAMP. REG)'!$F$333:$Q$447,12,FALSE)</f>
        <v>207.77</v>
      </c>
      <c r="CF47" s="75">
        <f>UNINASSAU.[[#This Row],[Nº Parcelas]]</f>
        <v>19</v>
      </c>
      <c r="CG47" s="75">
        <f>UNINASSAU.[[#This Row],[Nº Parcelas normal2]]-1</f>
        <v>18</v>
      </c>
      <c r="CH47" s="73">
        <f>UNINASSAU.[[#This Row],[$ NORMAL]]</f>
        <v>419.73304200000007</v>
      </c>
      <c r="CI47" s="72">
        <f>UNINASSAU.[[#This Row],[%  SITE]]</f>
        <v>0.4</v>
      </c>
      <c r="CJ47" s="73">
        <f>UNINASSAU.[[#This Row],[$ SITE]]</f>
        <v>226.66</v>
      </c>
      <c r="CK47" s="72">
        <f>UNINASSAU.[[#This Row],[%  SGP]]</f>
        <v>0.45</v>
      </c>
      <c r="CL47" s="73">
        <f>UNINASSAU.[[#This Row],[$ SGP]]</f>
        <v>207.77</v>
      </c>
      <c r="CM47" s="69" t="s">
        <v>351</v>
      </c>
      <c r="CN47" s="69" t="s">
        <v>372</v>
      </c>
      <c r="CP47" s="104">
        <v>44</v>
      </c>
      <c r="CQ47" s="121" t="s">
        <v>306</v>
      </c>
    </row>
    <row r="48" spans="14:95" ht="16.5" customHeight="1" x14ac:dyDescent="0.25">
      <c r="N48" s="121" t="s">
        <v>308</v>
      </c>
      <c r="O48" s="69" t="s">
        <v>19</v>
      </c>
      <c r="P48" s="69" t="str">
        <f>VLOOKUP(UNIFAEL.[[#This Row],[CURSO]],'[1]POS_VIVO_0112 a 3101_CAMP. REG)'!$F$5:$G$113,2,FALSE)</f>
        <v>Saúde</v>
      </c>
      <c r="Q48" s="68">
        <f>VLOOKUP(UNIFAEL.[[#This Row],[CURSO]],'[1]POS_VIVO_0112 a 3101_CAMP. REG)'!$F$5:$H$113,3,FALSE)</f>
        <v>18</v>
      </c>
      <c r="R48" s="68">
        <f>VLOOKUP(UNIFAEL.[[#This Row],[CURSO]],'[1]POS_VIVO_0112 a 3101_CAMP. REG)'!$F$5:$I$113,4,FALSE)</f>
        <v>19</v>
      </c>
      <c r="S48" s="73">
        <f>VLOOKUP(UNIFAEL.[[#This Row],[CURSO]],'[1]POS_VIVO_0112 a 3101_CAMP. REG)'!$F$5:$J$113,5,FALSE)</f>
        <v>320.59937400000007</v>
      </c>
      <c r="T48" s="124">
        <f>VLOOKUP(UNIFAEL.[[#This Row],[CURSO]],'[1]POS_VIVO_0112 a 3101_CAMP. REG)'!$F$5:$L$113,7,FALSE)</f>
        <v>0.4</v>
      </c>
      <c r="U48" s="71">
        <f>VLOOKUP(UNIFAEL.[[#This Row],[CURSO]],'[1]POS_VIVO_0112 a 3101_CAMP. REG)'!$F$5:$M$113,8,FALSE)</f>
        <v>173.12</v>
      </c>
      <c r="V48" s="72">
        <f>VLOOKUP(UNIFAEL.[[#This Row],[CURSO]],'[1]POS_VIVO_0112 a 3101_CAMP. REG)'!$F$5:$P$113,11,FALSE)</f>
        <v>0.45</v>
      </c>
      <c r="W48" s="73">
        <f>VLOOKUP(UNIFAEL.[[#This Row],[CURSO]],'[1]POS_VIVO_0112 a 3101_CAMP. REG)'!$F$5:$Q$113,12,FALSE)</f>
        <v>158.69999999999999</v>
      </c>
      <c r="X48" s="75">
        <f>UNIFAEL.[[#This Row],[Nº Parcelas]]</f>
        <v>19</v>
      </c>
      <c r="Y48" s="75">
        <f>UNIFAEL.[[#This Row],[Nº Parcelas normal2]]-1</f>
        <v>18</v>
      </c>
      <c r="Z48" s="73">
        <f>UNIFAEL.[[#This Row],[$ NORMAL]]</f>
        <v>320.59937400000007</v>
      </c>
      <c r="AA48" s="72">
        <f>UNIFAEL.[[#This Row],[%  SITE]]</f>
        <v>0.4</v>
      </c>
      <c r="AB48" s="73">
        <f>UNIFAEL.[[#This Row],[$ SITE]]</f>
        <v>173.12</v>
      </c>
      <c r="AC48" s="72">
        <f>UNIFAEL.[[#This Row],[%  SGP]]</f>
        <v>0.45</v>
      </c>
      <c r="AD48" s="73">
        <f>UNIFAEL.[[#This Row],[$ SGP]]</f>
        <v>158.69999999999999</v>
      </c>
      <c r="AE48" s="69" t="s">
        <v>371</v>
      </c>
      <c r="AF48" s="69" t="s">
        <v>372</v>
      </c>
      <c r="AH48" s="121" t="s">
        <v>308</v>
      </c>
      <c r="AI48" s="69" t="s">
        <v>19</v>
      </c>
      <c r="AJ48" s="69" t="str">
        <f>VLOOKUP(UNAMA.[[#This Row],[PARCELA MATRICULA NÃO PAGA]],'[1]POS_VIVO_0112 a 3101_CAMP. REG)'!$F$115:$G$222,2,FALSE)</f>
        <v>Saúde</v>
      </c>
      <c r="AK48" s="69">
        <f>VLOOKUP(UNAMA.[[#This Row],[PARCELA MATRICULA NÃO PAGA]],'[1]POS_VIVO_0112 a 3101_CAMP. REG)'!$F$115:$H$222,3,FALSE)</f>
        <v>18</v>
      </c>
      <c r="AL48" s="69">
        <f>VLOOKUP(UNAMA.[[#This Row],[PARCELA MATRICULA NÃO PAGA]],'[1]POS_VIVO_0112 a 3101_CAMP. REG)'!$F$115:$I$222,4,FALSE)</f>
        <v>19</v>
      </c>
      <c r="AM48" s="71">
        <f>VLOOKUP(UNAMA.[[#This Row],[PARCELA MATRICULA NÃO PAGA]],'[1]POS_VIVO_0112 a 3101_CAMP. REG)'!$F$115:$J$222,5,FALSE)</f>
        <v>352.66770900000006</v>
      </c>
      <c r="AN48" s="123">
        <f>VLOOKUP(UNAMA.[[#This Row],[PARCELA MATRICULA NÃO PAGA]],'[1]POS_VIVO_0112 a 3101_CAMP. REG)'!$F$115:$L$222,7,FALSE)</f>
        <v>0.4</v>
      </c>
      <c r="AO48" s="73">
        <f>VLOOKUP(UNAMA.[[#This Row],[PARCELA MATRICULA NÃO PAGA]],'[1]POS_VIVO_0112 a 3101_CAMP. REG)'!$F$115:$M$222,8,FALSE)</f>
        <v>190.44</v>
      </c>
      <c r="AP48" s="72">
        <f>VLOOKUP(UNAMA.[[#This Row],[PARCELA MATRICULA NÃO PAGA]],'[1]POS_VIVO_0112 a 3101_CAMP. REG)'!$F$115:$P$222,11,FALSE)</f>
        <v>0.45</v>
      </c>
      <c r="AQ48" s="73">
        <f>VLOOKUP(UNAMA.[[#This Row],[PARCELA MATRICULA NÃO PAGA]],'[1]POS_VIVO_0112 a 3101_CAMP. REG)'!$F$115:$Q$222,12,FALSE)</f>
        <v>174.57</v>
      </c>
      <c r="AR48" s="68">
        <f>UNAMA.[[#This Row],[Nº Parcelas]]</f>
        <v>19</v>
      </c>
      <c r="AS48" s="68">
        <f>UNAMA.[[#This Row],[Nº Parcelas normal2]]-1</f>
        <v>18</v>
      </c>
      <c r="AT48" s="71">
        <f>UNAMA.[[#This Row],[$ NORMAL]]</f>
        <v>352.66770900000006</v>
      </c>
      <c r="AU48" s="162">
        <f>UNAMA.[[#This Row],[%  SITE]]</f>
        <v>0.4</v>
      </c>
      <c r="AV48" s="161">
        <f>UNAMA.[[#This Row],[$ SITE]]</f>
        <v>190.44</v>
      </c>
      <c r="AW48" s="162">
        <f>UNAMA.[[#This Row],[%  SGP]]</f>
        <v>0.45</v>
      </c>
      <c r="AX48" s="161">
        <f>UNAMA.[[#This Row],[$ SGP]]</f>
        <v>174.57</v>
      </c>
      <c r="AY48" s="69" t="s">
        <v>351</v>
      </c>
      <c r="AZ48" s="69" t="s">
        <v>372</v>
      </c>
      <c r="BB48" s="121" t="s">
        <v>308</v>
      </c>
      <c r="BC48" s="69" t="s">
        <v>19</v>
      </c>
      <c r="BD48" s="68" t="str">
        <f>VLOOKUP(UNG.[[#This Row],[CURSO]],'[1]POS_VIVO_0112 a 3101_CAMP. REG)'!$F$224:$G$331,2,FALSE)</f>
        <v>Saúde</v>
      </c>
      <c r="BE48" s="70">
        <f>VLOOKUP(UNG.[[#This Row],[CURSO]],'[1]POS_VIVO_0112 a 3101_CAMP. REG)'!$F$224:$H$331,3,FALSE)</f>
        <v>18</v>
      </c>
      <c r="BF48" s="70">
        <f>VLOOKUP(UNG.[[#This Row],[CURSO]],'[1]POS_VIVO_0112 a 3101_CAMP. REG)'!$F$224:$I$331,4,FALSE)</f>
        <v>19</v>
      </c>
      <c r="BG48" s="73">
        <f>VLOOKUP(UNG.[[#This Row],[CURSO]],'[1]POS_VIVO_0112 a 3101_CAMP. REG)'!$F$224:$J$331,5,FALSE)</f>
        <v>320.59937400000007</v>
      </c>
      <c r="BH48" s="72">
        <f>VLOOKUP(UNG.[[#This Row],[CURSO]],'[1]POS_VIVO_0112 a 3101_CAMP. REG)'!$F$224:$L$331,7,FALSE)</f>
        <v>0.4</v>
      </c>
      <c r="BI48" s="73">
        <f>VLOOKUP(UNG.[[#This Row],[CURSO]],'[1]POS_VIVO_0112 a 3101_CAMP. REG)'!$F$224:$M$331,8,FALSE)</f>
        <v>173.12</v>
      </c>
      <c r="BJ48" s="72">
        <f>VLOOKUP(UNG.[[#This Row],[CURSO]],'[1]POS_VIVO_0112 a 3101_CAMP. REG)'!$F$224:$P$331,11,FALSE)</f>
        <v>0.45</v>
      </c>
      <c r="BK48" s="73">
        <f>VLOOKUP(UNG.[[#This Row],[CURSO]],'[1]POS_VIVO_0112 a 3101_CAMP. REG)'!$F$224:$Q$331,12,FALSE)</f>
        <v>158.69999999999999</v>
      </c>
      <c r="BL48" s="75">
        <f>UNG.[[#This Row],[Nº Parcelas]]</f>
        <v>19</v>
      </c>
      <c r="BM48" s="75">
        <f>UNG.[[#This Row],[Nº Parcelas normal2]]-1</f>
        <v>18</v>
      </c>
      <c r="BN48" s="73">
        <f>UNG.[[#This Row],[$ NORMAL]]</f>
        <v>320.59937400000007</v>
      </c>
      <c r="BO48" s="72">
        <f>UNG.[[#This Row],[%  SITE]]</f>
        <v>0.4</v>
      </c>
      <c r="BP48" s="73">
        <f>UNG.[[#This Row],[$ SITE]]</f>
        <v>173.12</v>
      </c>
      <c r="BQ48" s="72">
        <f>UNG.[[#This Row],[%  SGP]]</f>
        <v>0.45</v>
      </c>
      <c r="BR48" s="73">
        <f>UNG.[[#This Row],[$ SGP]]</f>
        <v>158.69999999999999</v>
      </c>
      <c r="BS48" s="69" t="s">
        <v>351</v>
      </c>
      <c r="BT48" s="69" t="s">
        <v>372</v>
      </c>
      <c r="BV48" s="121" t="s">
        <v>308</v>
      </c>
      <c r="BW48" s="69" t="s">
        <v>19</v>
      </c>
      <c r="BX48" s="69" t="str">
        <f>VLOOKUP(UNINASSAU.[[#This Row],[CURSO]],'[1]POS_VIVO_0112 a 3101_CAMP. REG)'!$F$333:$G$447,2,FALSE)</f>
        <v>Saúde</v>
      </c>
      <c r="BY48" s="68">
        <f>VLOOKUP(UNINASSAU.[[#This Row],[CURSO]],'[1]POS_VIVO_0112 a 3101_CAMP. REG)'!$F$333:$H$447,3,FALSE)</f>
        <v>18</v>
      </c>
      <c r="BZ48" s="68">
        <f>VLOOKUP(UNINASSAU.[[#This Row],[CURSO]],'[1]POS_VIVO_0112 a 3101_CAMP. REG)'!$F$333:$I$447,4,FALSE)</f>
        <v>19</v>
      </c>
      <c r="CA48" s="73">
        <f>VLOOKUP(UNINASSAU.[[#This Row],[CURSO]],'[1]POS_VIVO_0112 a 3101_CAMP. REG)'!$F$333:$J$447,5,FALSE)</f>
        <v>320.59937400000007</v>
      </c>
      <c r="CB48" s="72">
        <f>VLOOKUP(UNINASSAU.[[#This Row],[CURSO]],'[1]POS_VIVO_0112 a 3101_CAMP. REG)'!$F$333:$L$447,7,FALSE)</f>
        <v>0.4</v>
      </c>
      <c r="CC48" s="73">
        <f>VLOOKUP(UNINASSAU.[[#This Row],[CURSO]],'[1]POS_VIVO_0112 a 3101_CAMP. REG)'!$F$333:$M$447,8,FALSE)</f>
        <v>173.12</v>
      </c>
      <c r="CD48" s="72">
        <f>VLOOKUP(UNINASSAU.[[#This Row],[CURSO]],'[1]POS_VIVO_0112 a 3101_CAMP. REG)'!$F$333:$P$447,11,FALSE)</f>
        <v>0.45</v>
      </c>
      <c r="CE48" s="73">
        <f>VLOOKUP(UNINASSAU.[[#This Row],[CURSO]],'[1]POS_VIVO_0112 a 3101_CAMP. REG)'!$F$333:$Q$447,12,FALSE)</f>
        <v>158.69999999999999</v>
      </c>
      <c r="CF48" s="75">
        <f>UNINASSAU.[[#This Row],[Nº Parcelas]]</f>
        <v>19</v>
      </c>
      <c r="CG48" s="75">
        <f>UNINASSAU.[[#This Row],[Nº Parcelas normal2]]-1</f>
        <v>18</v>
      </c>
      <c r="CH48" s="73">
        <f>UNINASSAU.[[#This Row],[$ NORMAL]]</f>
        <v>320.59937400000007</v>
      </c>
      <c r="CI48" s="72">
        <f>UNINASSAU.[[#This Row],[%  SITE]]</f>
        <v>0.4</v>
      </c>
      <c r="CJ48" s="73">
        <f>UNINASSAU.[[#This Row],[$ SITE]]</f>
        <v>173.12</v>
      </c>
      <c r="CK48" s="72">
        <f>UNINASSAU.[[#This Row],[%  SGP]]</f>
        <v>0.45</v>
      </c>
      <c r="CL48" s="73">
        <f>UNINASSAU.[[#This Row],[$ SGP]]</f>
        <v>158.69999999999999</v>
      </c>
      <c r="CM48" s="69" t="s">
        <v>351</v>
      </c>
      <c r="CN48" s="69" t="s">
        <v>372</v>
      </c>
      <c r="CP48" s="104">
        <v>45</v>
      </c>
      <c r="CQ48" s="121" t="s">
        <v>307</v>
      </c>
    </row>
    <row r="49" spans="14:95" ht="16.5" customHeight="1" x14ac:dyDescent="0.25">
      <c r="N49" s="121" t="s">
        <v>330</v>
      </c>
      <c r="O49" s="69" t="s">
        <v>19</v>
      </c>
      <c r="P49" s="69" t="str">
        <f>VLOOKUP(UNIFAEL.[[#This Row],[CURSO]],'[1]POS_VIVO_0112 a 3101_CAMP. REG)'!$F$5:$G$113,2,FALSE)</f>
        <v>Saúde</v>
      </c>
      <c r="Q49" s="68">
        <f>VLOOKUP(UNIFAEL.[[#This Row],[CURSO]],'[1]POS_VIVO_0112 a 3101_CAMP. REG)'!$F$5:$H$113,3,FALSE)</f>
        <v>18</v>
      </c>
      <c r="R49" s="68">
        <f>VLOOKUP(UNIFAEL.[[#This Row],[CURSO]],'[1]POS_VIVO_0112 a 3101_CAMP. REG)'!$F$5:$I$113,4,FALSE)</f>
        <v>19</v>
      </c>
      <c r="S49" s="73">
        <f>VLOOKUP(UNIFAEL.[[#This Row],[CURSO]],'[1]POS_VIVO_0112 a 3101_CAMP. REG)'!$F$5:$J$113,5,FALSE)</f>
        <v>419.73304200000007</v>
      </c>
      <c r="T49" s="124">
        <f>VLOOKUP(UNIFAEL.[[#This Row],[CURSO]],'[1]POS_VIVO_0112 a 3101_CAMP. REG)'!$F$5:$L$113,7,FALSE)</f>
        <v>0.4</v>
      </c>
      <c r="U49" s="71">
        <f>VLOOKUP(UNIFAEL.[[#This Row],[CURSO]],'[1]POS_VIVO_0112 a 3101_CAMP. REG)'!$F$5:$M$113,8,FALSE)</f>
        <v>226.66</v>
      </c>
      <c r="V49" s="72">
        <f>VLOOKUP(UNIFAEL.[[#This Row],[CURSO]],'[1]POS_VIVO_0112 a 3101_CAMP. REG)'!$F$5:$P$113,11,FALSE)</f>
        <v>0.45</v>
      </c>
      <c r="W49" s="73">
        <f>VLOOKUP(UNIFAEL.[[#This Row],[CURSO]],'[1]POS_VIVO_0112 a 3101_CAMP. REG)'!$F$5:$Q$113,12,FALSE)</f>
        <v>207.77</v>
      </c>
      <c r="X49" s="75">
        <f>UNIFAEL.[[#This Row],[Nº Parcelas]]</f>
        <v>19</v>
      </c>
      <c r="Y49" s="75">
        <f>UNIFAEL.[[#This Row],[Nº Parcelas normal2]]-1</f>
        <v>18</v>
      </c>
      <c r="Z49" s="73">
        <f>UNIFAEL.[[#This Row],[$ NORMAL]]</f>
        <v>419.73304200000007</v>
      </c>
      <c r="AA49" s="72">
        <f>UNIFAEL.[[#This Row],[%  SITE]]</f>
        <v>0.4</v>
      </c>
      <c r="AB49" s="73">
        <f>UNIFAEL.[[#This Row],[$ SITE]]</f>
        <v>226.66</v>
      </c>
      <c r="AC49" s="72">
        <f>UNIFAEL.[[#This Row],[%  SGP]]</f>
        <v>0.45</v>
      </c>
      <c r="AD49" s="73">
        <f>UNIFAEL.[[#This Row],[$ SGP]]</f>
        <v>207.77</v>
      </c>
      <c r="AE49" s="69" t="s">
        <v>371</v>
      </c>
      <c r="AF49" s="69" t="s">
        <v>372</v>
      </c>
      <c r="AH49" s="121" t="s">
        <v>330</v>
      </c>
      <c r="AI49" s="69" t="s">
        <v>19</v>
      </c>
      <c r="AJ49" s="69" t="str">
        <f>VLOOKUP(UNAMA.[[#This Row],[PARCELA MATRICULA NÃO PAGA]],'[1]POS_VIVO_0112 a 3101_CAMP. REG)'!$F$115:$G$222,2,FALSE)</f>
        <v>Saúde</v>
      </c>
      <c r="AK49" s="69">
        <f>VLOOKUP(UNAMA.[[#This Row],[PARCELA MATRICULA NÃO PAGA]],'[1]POS_VIVO_0112 a 3101_CAMP. REG)'!$F$115:$H$222,3,FALSE)</f>
        <v>18</v>
      </c>
      <c r="AL49" s="69">
        <f>VLOOKUP(UNAMA.[[#This Row],[PARCELA MATRICULA NÃO PAGA]],'[1]POS_VIVO_0112 a 3101_CAMP. REG)'!$F$115:$I$222,4,FALSE)</f>
        <v>19</v>
      </c>
      <c r="AM49" s="71">
        <f>VLOOKUP(UNAMA.[[#This Row],[PARCELA MATRICULA NÃO PAGA]],'[1]POS_VIVO_0112 a 3101_CAMP. REG)'!$F$115:$J$222,5,FALSE)</f>
        <v>461.71054500000008</v>
      </c>
      <c r="AN49" s="123">
        <f>VLOOKUP(UNAMA.[[#This Row],[PARCELA MATRICULA NÃO PAGA]],'[1]POS_VIVO_0112 a 3101_CAMP. REG)'!$F$115:$L$222,7,FALSE)</f>
        <v>0.4</v>
      </c>
      <c r="AO49" s="73">
        <f>VLOOKUP(UNAMA.[[#This Row],[PARCELA MATRICULA NÃO PAGA]],'[1]POS_VIVO_0112 a 3101_CAMP. REG)'!$F$115:$M$222,8,FALSE)</f>
        <v>249.32</v>
      </c>
      <c r="AP49" s="72">
        <f>VLOOKUP(UNAMA.[[#This Row],[PARCELA MATRICULA NÃO PAGA]],'[1]POS_VIVO_0112 a 3101_CAMP. REG)'!$F$115:$P$222,11,FALSE)</f>
        <v>0.45</v>
      </c>
      <c r="AQ49" s="73">
        <f>VLOOKUP(UNAMA.[[#This Row],[PARCELA MATRICULA NÃO PAGA]],'[1]POS_VIVO_0112 a 3101_CAMP. REG)'!$F$115:$Q$222,12,FALSE)</f>
        <v>228.55</v>
      </c>
      <c r="AR49" s="68">
        <f>UNAMA.[[#This Row],[Nº Parcelas]]</f>
        <v>19</v>
      </c>
      <c r="AS49" s="68">
        <f>UNAMA.[[#This Row],[Nº Parcelas normal2]]-1</f>
        <v>18</v>
      </c>
      <c r="AT49" s="71">
        <f>UNAMA.[[#This Row],[$ NORMAL]]</f>
        <v>461.71054500000008</v>
      </c>
      <c r="AU49" s="162">
        <f>UNAMA.[[#This Row],[%  SITE]]</f>
        <v>0.4</v>
      </c>
      <c r="AV49" s="161">
        <f>UNAMA.[[#This Row],[$ SITE]]</f>
        <v>249.32</v>
      </c>
      <c r="AW49" s="162">
        <f>UNAMA.[[#This Row],[%  SGP]]</f>
        <v>0.45</v>
      </c>
      <c r="AX49" s="161">
        <f>UNAMA.[[#This Row],[$ SGP]]</f>
        <v>228.55</v>
      </c>
      <c r="AY49" s="69" t="s">
        <v>351</v>
      </c>
      <c r="AZ49" s="69" t="s">
        <v>372</v>
      </c>
      <c r="BB49" s="121" t="s">
        <v>330</v>
      </c>
      <c r="BC49" s="69" t="s">
        <v>19</v>
      </c>
      <c r="BD49" s="68" t="str">
        <f>VLOOKUP(UNG.[[#This Row],[CURSO]],'[1]POS_VIVO_0112 a 3101_CAMP. REG)'!$F$224:$G$331,2,FALSE)</f>
        <v>Saúde</v>
      </c>
      <c r="BE49" s="75">
        <f>VLOOKUP(UNG.[[#This Row],[CURSO]],'[1]POS_VIVO_0112 a 3101_CAMP. REG)'!$F$224:$H$331,3,FALSE)</f>
        <v>18</v>
      </c>
      <c r="BF49" s="75">
        <f>VLOOKUP(UNG.[[#This Row],[CURSO]],'[1]POS_VIVO_0112 a 3101_CAMP. REG)'!$F$224:$I$331,4,FALSE)</f>
        <v>19</v>
      </c>
      <c r="BG49" s="73">
        <f>VLOOKUP(UNG.[[#This Row],[CURSO]],'[1]POS_VIVO_0112 a 3101_CAMP. REG)'!$F$224:$J$331,5,FALSE)</f>
        <v>419.73304200000007</v>
      </c>
      <c r="BH49" s="72">
        <f>VLOOKUP(UNG.[[#This Row],[CURSO]],'[1]POS_VIVO_0112 a 3101_CAMP. REG)'!$F$224:$L$331,7,FALSE)</f>
        <v>0.4</v>
      </c>
      <c r="BI49" s="73">
        <f>VLOOKUP(UNG.[[#This Row],[CURSO]],'[1]POS_VIVO_0112 a 3101_CAMP. REG)'!$F$224:$M$331,8,FALSE)</f>
        <v>226.66</v>
      </c>
      <c r="BJ49" s="72">
        <f>VLOOKUP(UNG.[[#This Row],[CURSO]],'[1]POS_VIVO_0112 a 3101_CAMP. REG)'!$F$224:$P$331,11,FALSE)</f>
        <v>0.45</v>
      </c>
      <c r="BK49" s="73">
        <f>VLOOKUP(UNG.[[#This Row],[CURSO]],'[1]POS_VIVO_0112 a 3101_CAMP. REG)'!$F$224:$Q$331,12,FALSE)</f>
        <v>207.77</v>
      </c>
      <c r="BL49" s="75">
        <f>UNG.[[#This Row],[Nº Parcelas]]</f>
        <v>19</v>
      </c>
      <c r="BM49" s="75">
        <f>UNG.[[#This Row],[Nº Parcelas normal2]]-1</f>
        <v>18</v>
      </c>
      <c r="BN49" s="73">
        <f>UNG.[[#This Row],[$ NORMAL]]</f>
        <v>419.73304200000007</v>
      </c>
      <c r="BO49" s="72">
        <f>UNG.[[#This Row],[%  SITE]]</f>
        <v>0.4</v>
      </c>
      <c r="BP49" s="73">
        <f>UNG.[[#This Row],[$ SITE]]</f>
        <v>226.66</v>
      </c>
      <c r="BQ49" s="72">
        <f>UNG.[[#This Row],[%  SGP]]</f>
        <v>0.45</v>
      </c>
      <c r="BR49" s="73">
        <f>UNG.[[#This Row],[$ SGP]]</f>
        <v>207.77</v>
      </c>
      <c r="BS49" s="69" t="s">
        <v>351</v>
      </c>
      <c r="BT49" s="69" t="s">
        <v>372</v>
      </c>
      <c r="BV49" s="121" t="s">
        <v>330</v>
      </c>
      <c r="BW49" s="69" t="s">
        <v>19</v>
      </c>
      <c r="BX49" s="69" t="str">
        <f>VLOOKUP(UNINASSAU.[[#This Row],[CURSO]],'[1]POS_VIVO_0112 a 3101_CAMP. REG)'!$F$333:$G$447,2,FALSE)</f>
        <v>Saúde</v>
      </c>
      <c r="BY49" s="68">
        <f>VLOOKUP(UNINASSAU.[[#This Row],[CURSO]],'[1]POS_VIVO_0112 a 3101_CAMP. REG)'!$F$333:$H$447,3,FALSE)</f>
        <v>18</v>
      </c>
      <c r="BZ49" s="68">
        <f>VLOOKUP(UNINASSAU.[[#This Row],[CURSO]],'[1]POS_VIVO_0112 a 3101_CAMP. REG)'!$F$333:$I$447,4,FALSE)</f>
        <v>19</v>
      </c>
      <c r="CA49" s="73">
        <f>VLOOKUP(UNINASSAU.[[#This Row],[CURSO]],'[1]POS_VIVO_0112 a 3101_CAMP. REG)'!$F$333:$J$447,5,FALSE)</f>
        <v>419.73304200000007</v>
      </c>
      <c r="CB49" s="72">
        <f>VLOOKUP(UNINASSAU.[[#This Row],[CURSO]],'[1]POS_VIVO_0112 a 3101_CAMP. REG)'!$F$333:$L$447,7,FALSE)</f>
        <v>0.4</v>
      </c>
      <c r="CC49" s="73">
        <f>VLOOKUP(UNINASSAU.[[#This Row],[CURSO]],'[1]POS_VIVO_0112 a 3101_CAMP. REG)'!$F$333:$M$447,8,FALSE)</f>
        <v>226.66</v>
      </c>
      <c r="CD49" s="72">
        <f>VLOOKUP(UNINASSAU.[[#This Row],[CURSO]],'[1]POS_VIVO_0112 a 3101_CAMP. REG)'!$F$333:$P$447,11,FALSE)</f>
        <v>0.45</v>
      </c>
      <c r="CE49" s="73">
        <f>VLOOKUP(UNINASSAU.[[#This Row],[CURSO]],'[1]POS_VIVO_0112 a 3101_CAMP. REG)'!$F$333:$Q$447,12,FALSE)</f>
        <v>207.77</v>
      </c>
      <c r="CF49" s="75">
        <f>UNINASSAU.[[#This Row],[Nº Parcelas]]</f>
        <v>19</v>
      </c>
      <c r="CG49" s="75">
        <f>UNINASSAU.[[#This Row],[Nº Parcelas normal2]]-1</f>
        <v>18</v>
      </c>
      <c r="CH49" s="73">
        <f>UNINASSAU.[[#This Row],[$ NORMAL]]</f>
        <v>419.73304200000007</v>
      </c>
      <c r="CI49" s="72">
        <f>UNINASSAU.[[#This Row],[%  SITE]]</f>
        <v>0.4</v>
      </c>
      <c r="CJ49" s="73">
        <f>UNINASSAU.[[#This Row],[$ SITE]]</f>
        <v>226.66</v>
      </c>
      <c r="CK49" s="72">
        <f>UNINASSAU.[[#This Row],[%  SGP]]</f>
        <v>0.45</v>
      </c>
      <c r="CL49" s="73">
        <f>UNINASSAU.[[#This Row],[$ SGP]]</f>
        <v>207.77</v>
      </c>
      <c r="CM49" s="69" t="s">
        <v>351</v>
      </c>
      <c r="CN49" s="69" t="s">
        <v>372</v>
      </c>
      <c r="CP49" s="104">
        <v>46</v>
      </c>
      <c r="CQ49" s="121" t="s">
        <v>271</v>
      </c>
    </row>
    <row r="50" spans="14:95" ht="16.5" customHeight="1" x14ac:dyDescent="0.25">
      <c r="N50" s="121" t="s">
        <v>322</v>
      </c>
      <c r="O50" s="69" t="s">
        <v>19</v>
      </c>
      <c r="P50" s="69" t="str">
        <f>VLOOKUP(UNIFAEL.[[#This Row],[CURSO]],'[1]POS_VIVO_0112 a 3101_CAMP. REG)'!$F$5:$G$113,2,FALSE)</f>
        <v>Saúde</v>
      </c>
      <c r="Q50" s="68">
        <f>VLOOKUP(UNIFAEL.[[#This Row],[CURSO]],'[1]POS_VIVO_0112 a 3101_CAMP. REG)'!$F$5:$H$113,3,FALSE)</f>
        <v>18</v>
      </c>
      <c r="R50" s="68">
        <f>VLOOKUP(UNIFAEL.[[#This Row],[CURSO]],'[1]POS_VIVO_0112 a 3101_CAMP. REG)'!$F$5:$I$113,4,FALSE)</f>
        <v>19</v>
      </c>
      <c r="S50" s="73">
        <f>VLOOKUP(UNIFAEL.[[#This Row],[CURSO]],'[1]POS_VIVO_0112 a 3101_CAMP. REG)'!$F$5:$J$113,5,FALSE)</f>
        <v>419.73304200000007</v>
      </c>
      <c r="T50" s="124">
        <f>VLOOKUP(UNIFAEL.[[#This Row],[CURSO]],'[1]POS_VIVO_0112 a 3101_CAMP. REG)'!$F$5:$L$113,7,FALSE)</f>
        <v>0.4</v>
      </c>
      <c r="U50" s="71">
        <f>VLOOKUP(UNIFAEL.[[#This Row],[CURSO]],'[1]POS_VIVO_0112 a 3101_CAMP. REG)'!$F$5:$M$113,8,FALSE)</f>
        <v>226.66</v>
      </c>
      <c r="V50" s="72">
        <f>VLOOKUP(UNIFAEL.[[#This Row],[CURSO]],'[1]POS_VIVO_0112 a 3101_CAMP. REG)'!$F$5:$P$113,11,FALSE)</f>
        <v>0.45</v>
      </c>
      <c r="W50" s="73">
        <f>VLOOKUP(UNIFAEL.[[#This Row],[CURSO]],'[1]POS_VIVO_0112 a 3101_CAMP. REG)'!$F$5:$Q$113,12,FALSE)</f>
        <v>207.77</v>
      </c>
      <c r="X50" s="75">
        <f>UNIFAEL.[[#This Row],[Nº Parcelas]]</f>
        <v>19</v>
      </c>
      <c r="Y50" s="75">
        <f>UNIFAEL.[[#This Row],[Nº Parcelas normal2]]-1</f>
        <v>18</v>
      </c>
      <c r="Z50" s="73">
        <f>UNIFAEL.[[#This Row],[$ NORMAL]]</f>
        <v>419.73304200000007</v>
      </c>
      <c r="AA50" s="72">
        <f>UNIFAEL.[[#This Row],[%  SITE]]</f>
        <v>0.4</v>
      </c>
      <c r="AB50" s="73">
        <f>UNIFAEL.[[#This Row],[$ SITE]]</f>
        <v>226.66</v>
      </c>
      <c r="AC50" s="72">
        <f>UNIFAEL.[[#This Row],[%  SGP]]</f>
        <v>0.45</v>
      </c>
      <c r="AD50" s="73">
        <f>UNIFAEL.[[#This Row],[$ SGP]]</f>
        <v>207.77</v>
      </c>
      <c r="AE50" s="69" t="s">
        <v>371</v>
      </c>
      <c r="AF50" s="69" t="s">
        <v>372</v>
      </c>
      <c r="AH50" s="121" t="s">
        <v>322</v>
      </c>
      <c r="AI50" s="69" t="s">
        <v>19</v>
      </c>
      <c r="AJ50" s="69" t="str">
        <f>VLOOKUP(UNAMA.[[#This Row],[PARCELA MATRICULA NÃO PAGA]],'[1]POS_VIVO_0112 a 3101_CAMP. REG)'!$F$115:$G$222,2,FALSE)</f>
        <v>Saúde</v>
      </c>
      <c r="AK50" s="69">
        <f>VLOOKUP(UNAMA.[[#This Row],[PARCELA MATRICULA NÃO PAGA]],'[1]POS_VIVO_0112 a 3101_CAMP. REG)'!$F$115:$H$222,3,FALSE)</f>
        <v>18</v>
      </c>
      <c r="AL50" s="69">
        <f>VLOOKUP(UNAMA.[[#This Row],[PARCELA MATRICULA NÃO PAGA]],'[1]POS_VIVO_0112 a 3101_CAMP. REG)'!$F$115:$I$222,4,FALSE)</f>
        <v>19</v>
      </c>
      <c r="AM50" s="73">
        <f>VLOOKUP(UNAMA.[[#This Row],[PARCELA MATRICULA NÃO PAGA]],'[1]POS_VIVO_0112 a 3101_CAMP. REG)'!$F$115:$J$222,5,FALSE)</f>
        <v>461.71054500000008</v>
      </c>
      <c r="AN50" s="123">
        <f>VLOOKUP(UNAMA.[[#This Row],[PARCELA MATRICULA NÃO PAGA]],'[1]POS_VIVO_0112 a 3101_CAMP. REG)'!$F$115:$L$222,7,FALSE)</f>
        <v>0.4</v>
      </c>
      <c r="AO50" s="73">
        <f>VLOOKUP(UNAMA.[[#This Row],[PARCELA MATRICULA NÃO PAGA]],'[1]POS_VIVO_0112 a 3101_CAMP. REG)'!$F$115:$M$222,8,FALSE)</f>
        <v>249.32</v>
      </c>
      <c r="AP50" s="72">
        <f>VLOOKUP(UNAMA.[[#This Row],[PARCELA MATRICULA NÃO PAGA]],'[1]POS_VIVO_0112 a 3101_CAMP. REG)'!$F$115:$P$222,11,FALSE)</f>
        <v>0.45</v>
      </c>
      <c r="AQ50" s="73">
        <f>VLOOKUP(UNAMA.[[#This Row],[PARCELA MATRICULA NÃO PAGA]],'[1]POS_VIVO_0112 a 3101_CAMP. REG)'!$F$115:$Q$222,12,FALSE)</f>
        <v>228.55</v>
      </c>
      <c r="AR50" s="68">
        <f>UNAMA.[[#This Row],[Nº Parcelas]]</f>
        <v>19</v>
      </c>
      <c r="AS50" s="68">
        <f>UNAMA.[[#This Row],[Nº Parcelas normal2]]-1</f>
        <v>18</v>
      </c>
      <c r="AT50" s="71">
        <f>UNAMA.[[#This Row],[$ NORMAL]]</f>
        <v>461.71054500000008</v>
      </c>
      <c r="AU50" s="162">
        <f>UNAMA.[[#This Row],[%  SITE]]</f>
        <v>0.4</v>
      </c>
      <c r="AV50" s="161">
        <f>UNAMA.[[#This Row],[$ SITE]]</f>
        <v>249.32</v>
      </c>
      <c r="AW50" s="162">
        <f>UNAMA.[[#This Row],[%  SGP]]</f>
        <v>0.45</v>
      </c>
      <c r="AX50" s="161">
        <f>UNAMA.[[#This Row],[$ SGP]]</f>
        <v>228.55</v>
      </c>
      <c r="AY50" s="69" t="s">
        <v>351</v>
      </c>
      <c r="AZ50" s="69" t="s">
        <v>372</v>
      </c>
      <c r="BB50" s="121" t="s">
        <v>322</v>
      </c>
      <c r="BC50" s="69" t="s">
        <v>19</v>
      </c>
      <c r="BD50" s="68" t="str">
        <f>VLOOKUP(UNG.[[#This Row],[CURSO]],'[1]POS_VIVO_0112 a 3101_CAMP. REG)'!$F$224:$G$331,2,FALSE)</f>
        <v>Saúde</v>
      </c>
      <c r="BE50" s="70">
        <f>VLOOKUP(UNG.[[#This Row],[CURSO]],'[1]POS_VIVO_0112 a 3101_CAMP. REG)'!$F$224:$H$331,3,FALSE)</f>
        <v>18</v>
      </c>
      <c r="BF50" s="70">
        <f>VLOOKUP(UNG.[[#This Row],[CURSO]],'[1]POS_VIVO_0112 a 3101_CAMP. REG)'!$F$224:$I$331,4,FALSE)</f>
        <v>19</v>
      </c>
      <c r="BG50" s="73">
        <f>VLOOKUP(UNG.[[#This Row],[CURSO]],'[1]POS_VIVO_0112 a 3101_CAMP. REG)'!$F$224:$J$331,5,FALSE)</f>
        <v>419.73304200000007</v>
      </c>
      <c r="BH50" s="72">
        <f>VLOOKUP(UNG.[[#This Row],[CURSO]],'[1]POS_VIVO_0112 a 3101_CAMP. REG)'!$F$224:$L$331,7,FALSE)</f>
        <v>0.4</v>
      </c>
      <c r="BI50" s="73">
        <f>VLOOKUP(UNG.[[#This Row],[CURSO]],'[1]POS_VIVO_0112 a 3101_CAMP. REG)'!$F$224:$M$331,8,FALSE)</f>
        <v>226.66</v>
      </c>
      <c r="BJ50" s="72">
        <f>VLOOKUP(UNG.[[#This Row],[CURSO]],'[1]POS_VIVO_0112 a 3101_CAMP. REG)'!$F$224:$P$331,11,FALSE)</f>
        <v>0.45</v>
      </c>
      <c r="BK50" s="73">
        <f>VLOOKUP(UNG.[[#This Row],[CURSO]],'[1]POS_VIVO_0112 a 3101_CAMP. REG)'!$F$224:$Q$331,12,FALSE)</f>
        <v>207.77</v>
      </c>
      <c r="BL50" s="75">
        <f>UNG.[[#This Row],[Nº Parcelas]]</f>
        <v>19</v>
      </c>
      <c r="BM50" s="75">
        <f>UNG.[[#This Row],[Nº Parcelas normal2]]-1</f>
        <v>18</v>
      </c>
      <c r="BN50" s="73">
        <f>UNG.[[#This Row],[$ NORMAL]]</f>
        <v>419.73304200000007</v>
      </c>
      <c r="BO50" s="72">
        <f>UNG.[[#This Row],[%  SITE]]</f>
        <v>0.4</v>
      </c>
      <c r="BP50" s="73">
        <f>UNG.[[#This Row],[$ SITE]]</f>
        <v>226.66</v>
      </c>
      <c r="BQ50" s="72">
        <f>UNG.[[#This Row],[%  SGP]]</f>
        <v>0.45</v>
      </c>
      <c r="BR50" s="73">
        <f>UNG.[[#This Row],[$ SGP]]</f>
        <v>207.77</v>
      </c>
      <c r="BS50" s="69" t="s">
        <v>351</v>
      </c>
      <c r="BT50" s="69" t="s">
        <v>372</v>
      </c>
      <c r="BV50" s="121" t="s">
        <v>322</v>
      </c>
      <c r="BW50" s="69" t="s">
        <v>19</v>
      </c>
      <c r="BX50" s="69" t="str">
        <f>VLOOKUP(UNINASSAU.[[#This Row],[CURSO]],'[1]POS_VIVO_0112 a 3101_CAMP. REG)'!$F$333:$G$447,2,FALSE)</f>
        <v>Saúde</v>
      </c>
      <c r="BY50" s="68">
        <f>VLOOKUP(UNINASSAU.[[#This Row],[CURSO]],'[1]POS_VIVO_0112 a 3101_CAMP. REG)'!$F$333:$H$447,3,FALSE)</f>
        <v>18</v>
      </c>
      <c r="BZ50" s="68">
        <f>VLOOKUP(UNINASSAU.[[#This Row],[CURSO]],'[1]POS_VIVO_0112 a 3101_CAMP. REG)'!$F$333:$I$447,4,FALSE)</f>
        <v>19</v>
      </c>
      <c r="CA50" s="73">
        <f>VLOOKUP(UNINASSAU.[[#This Row],[CURSO]],'[1]POS_VIVO_0112 a 3101_CAMP. REG)'!$F$333:$J$447,5,FALSE)</f>
        <v>419.73304200000007</v>
      </c>
      <c r="CB50" s="72">
        <f>VLOOKUP(UNINASSAU.[[#This Row],[CURSO]],'[1]POS_VIVO_0112 a 3101_CAMP. REG)'!$F$333:$L$447,7,FALSE)</f>
        <v>0.4</v>
      </c>
      <c r="CC50" s="73">
        <f>VLOOKUP(UNINASSAU.[[#This Row],[CURSO]],'[1]POS_VIVO_0112 a 3101_CAMP. REG)'!$F$333:$M$447,8,FALSE)</f>
        <v>226.66</v>
      </c>
      <c r="CD50" s="72">
        <f>VLOOKUP(UNINASSAU.[[#This Row],[CURSO]],'[1]POS_VIVO_0112 a 3101_CAMP. REG)'!$F$333:$P$447,11,FALSE)</f>
        <v>0.45</v>
      </c>
      <c r="CE50" s="73">
        <f>VLOOKUP(UNINASSAU.[[#This Row],[CURSO]],'[1]POS_VIVO_0112 a 3101_CAMP. REG)'!$F$333:$Q$447,12,FALSE)</f>
        <v>207.77</v>
      </c>
      <c r="CF50" s="75">
        <f>UNINASSAU.[[#This Row],[Nº Parcelas]]</f>
        <v>19</v>
      </c>
      <c r="CG50" s="75">
        <f>UNINASSAU.[[#This Row],[Nº Parcelas normal2]]-1</f>
        <v>18</v>
      </c>
      <c r="CH50" s="73">
        <f>UNINASSAU.[[#This Row],[$ NORMAL]]</f>
        <v>419.73304200000007</v>
      </c>
      <c r="CI50" s="72">
        <f>UNINASSAU.[[#This Row],[%  SITE]]</f>
        <v>0.4</v>
      </c>
      <c r="CJ50" s="73">
        <f>UNINASSAU.[[#This Row],[$ SITE]]</f>
        <v>226.66</v>
      </c>
      <c r="CK50" s="72">
        <f>UNINASSAU.[[#This Row],[%  SGP]]</f>
        <v>0.45</v>
      </c>
      <c r="CL50" s="73">
        <f>UNINASSAU.[[#This Row],[$ SGP]]</f>
        <v>207.77</v>
      </c>
      <c r="CM50" s="69" t="s">
        <v>351</v>
      </c>
      <c r="CN50" s="69" t="s">
        <v>372</v>
      </c>
      <c r="CP50" s="104">
        <v>47</v>
      </c>
      <c r="CQ50" s="121" t="s">
        <v>308</v>
      </c>
    </row>
    <row r="51" spans="14:95" ht="16.5" customHeight="1" x14ac:dyDescent="0.25">
      <c r="N51" s="121" t="s">
        <v>293</v>
      </c>
      <c r="O51" s="69" t="s">
        <v>19</v>
      </c>
      <c r="P51" s="69" t="str">
        <f>VLOOKUP(UNIFAEL.[[#This Row],[CURSO]],'[1]POS_VIVO_0112 a 3101_CAMP. REG)'!$F$5:$G$113,2,FALSE)</f>
        <v>Saúde</v>
      </c>
      <c r="Q51" s="68">
        <f>VLOOKUP(UNIFAEL.[[#This Row],[CURSO]],'[1]POS_VIVO_0112 a 3101_CAMP. REG)'!$F$5:$H$113,3,FALSE)</f>
        <v>18</v>
      </c>
      <c r="R51" s="68">
        <f>VLOOKUP(UNIFAEL.[[#This Row],[CURSO]],'[1]POS_VIVO_0112 a 3101_CAMP. REG)'!$F$5:$I$113,4,FALSE)</f>
        <v>19</v>
      </c>
      <c r="S51" s="73">
        <f>VLOOKUP(UNIFAEL.[[#This Row],[CURSO]],'[1]POS_VIVO_0112 a 3101_CAMP. REG)'!$F$5:$J$113,5,FALSE)</f>
        <v>320.59937400000007</v>
      </c>
      <c r="T51" s="124">
        <f>VLOOKUP(UNIFAEL.[[#This Row],[CURSO]],'[1]POS_VIVO_0112 a 3101_CAMP. REG)'!$F$5:$L$113,7,FALSE)</f>
        <v>0.4</v>
      </c>
      <c r="U51" s="71">
        <f>VLOOKUP(UNIFAEL.[[#This Row],[CURSO]],'[1]POS_VIVO_0112 a 3101_CAMP. REG)'!$F$5:$M$113,8,FALSE)</f>
        <v>173.12</v>
      </c>
      <c r="V51" s="72">
        <f>VLOOKUP(UNIFAEL.[[#This Row],[CURSO]],'[1]POS_VIVO_0112 a 3101_CAMP. REG)'!$F$5:$P$113,11,FALSE)</f>
        <v>0.45</v>
      </c>
      <c r="W51" s="73">
        <f>VLOOKUP(UNIFAEL.[[#This Row],[CURSO]],'[1]POS_VIVO_0112 a 3101_CAMP. REG)'!$F$5:$Q$113,12,FALSE)</f>
        <v>158.69999999999999</v>
      </c>
      <c r="X51" s="75">
        <f>UNIFAEL.[[#This Row],[Nº Parcelas]]</f>
        <v>19</v>
      </c>
      <c r="Y51" s="75">
        <f>UNIFAEL.[[#This Row],[Nº Parcelas normal2]]-1</f>
        <v>18</v>
      </c>
      <c r="Z51" s="73">
        <f>UNIFAEL.[[#This Row],[$ NORMAL]]</f>
        <v>320.59937400000007</v>
      </c>
      <c r="AA51" s="72">
        <f>UNIFAEL.[[#This Row],[%  SITE]]</f>
        <v>0.4</v>
      </c>
      <c r="AB51" s="73">
        <f>UNIFAEL.[[#This Row],[$ SITE]]</f>
        <v>173.12</v>
      </c>
      <c r="AC51" s="72">
        <f>UNIFAEL.[[#This Row],[%  SGP]]</f>
        <v>0.45</v>
      </c>
      <c r="AD51" s="73">
        <f>UNIFAEL.[[#This Row],[$ SGP]]</f>
        <v>158.69999999999999</v>
      </c>
      <c r="AE51" s="69" t="s">
        <v>371</v>
      </c>
      <c r="AF51" s="69" t="s">
        <v>372</v>
      </c>
      <c r="AH51" s="121" t="s">
        <v>293</v>
      </c>
      <c r="AI51" s="69" t="s">
        <v>19</v>
      </c>
      <c r="AJ51" s="69" t="str">
        <f>VLOOKUP(UNAMA.[[#This Row],[PARCELA MATRICULA NÃO PAGA]],'[1]POS_VIVO_0112 a 3101_CAMP. REG)'!$F$115:$G$222,2,FALSE)</f>
        <v>Saúde</v>
      </c>
      <c r="AK51" s="69">
        <f>VLOOKUP(UNAMA.[[#This Row],[PARCELA MATRICULA NÃO PAGA]],'[1]POS_VIVO_0112 a 3101_CAMP. REG)'!$F$115:$H$222,3,FALSE)</f>
        <v>18</v>
      </c>
      <c r="AL51" s="69">
        <f>VLOOKUP(UNAMA.[[#This Row],[PARCELA MATRICULA NÃO PAGA]],'[1]POS_VIVO_0112 a 3101_CAMP. REG)'!$F$115:$I$222,4,FALSE)</f>
        <v>19</v>
      </c>
      <c r="AM51" s="73">
        <f>VLOOKUP(UNAMA.[[#This Row],[PARCELA MATRICULA NÃO PAGA]],'[1]POS_VIVO_0112 a 3101_CAMP. REG)'!$F$115:$J$222,5,FALSE)</f>
        <v>352.66770900000006</v>
      </c>
      <c r="AN51" s="123">
        <f>VLOOKUP(UNAMA.[[#This Row],[PARCELA MATRICULA NÃO PAGA]],'[1]POS_VIVO_0112 a 3101_CAMP. REG)'!$F$115:$L$222,7,FALSE)</f>
        <v>0.4</v>
      </c>
      <c r="AO51" s="73">
        <f>VLOOKUP(UNAMA.[[#This Row],[PARCELA MATRICULA NÃO PAGA]],'[1]POS_VIVO_0112 a 3101_CAMP. REG)'!$F$115:$M$222,8,FALSE)</f>
        <v>190.44</v>
      </c>
      <c r="AP51" s="72">
        <f>VLOOKUP(UNAMA.[[#This Row],[PARCELA MATRICULA NÃO PAGA]],'[1]POS_VIVO_0112 a 3101_CAMP. REG)'!$F$115:$P$222,11,FALSE)</f>
        <v>0.45</v>
      </c>
      <c r="AQ51" s="73">
        <f>VLOOKUP(UNAMA.[[#This Row],[PARCELA MATRICULA NÃO PAGA]],'[1]POS_VIVO_0112 a 3101_CAMP. REG)'!$F$115:$Q$222,12,FALSE)</f>
        <v>174.57</v>
      </c>
      <c r="AR51" s="68">
        <f>UNAMA.[[#This Row],[Nº Parcelas]]</f>
        <v>19</v>
      </c>
      <c r="AS51" s="68">
        <f>UNAMA.[[#This Row],[Nº Parcelas normal2]]-1</f>
        <v>18</v>
      </c>
      <c r="AT51" s="71">
        <f>UNAMA.[[#This Row],[$ NORMAL]]</f>
        <v>352.66770900000006</v>
      </c>
      <c r="AU51" s="162">
        <f>UNAMA.[[#This Row],[%  SITE]]</f>
        <v>0.4</v>
      </c>
      <c r="AV51" s="161">
        <f>UNAMA.[[#This Row],[$ SITE]]</f>
        <v>190.44</v>
      </c>
      <c r="AW51" s="162">
        <f>UNAMA.[[#This Row],[%  SGP]]</f>
        <v>0.45</v>
      </c>
      <c r="AX51" s="161">
        <f>UNAMA.[[#This Row],[$ SGP]]</f>
        <v>174.57</v>
      </c>
      <c r="AY51" s="69" t="s">
        <v>351</v>
      </c>
      <c r="AZ51" s="69" t="s">
        <v>372</v>
      </c>
      <c r="BB51" s="121" t="s">
        <v>293</v>
      </c>
      <c r="BC51" s="69" t="s">
        <v>19</v>
      </c>
      <c r="BD51" s="68" t="str">
        <f>VLOOKUP(UNG.[[#This Row],[CURSO]],'[1]POS_VIVO_0112 a 3101_CAMP. REG)'!$F$224:$G$331,2,FALSE)</f>
        <v>Saúde</v>
      </c>
      <c r="BE51" s="70">
        <f>VLOOKUP(UNG.[[#This Row],[CURSO]],'[1]POS_VIVO_0112 a 3101_CAMP. REG)'!$F$224:$H$331,3,FALSE)</f>
        <v>18</v>
      </c>
      <c r="BF51" s="70">
        <f>VLOOKUP(UNG.[[#This Row],[CURSO]],'[1]POS_VIVO_0112 a 3101_CAMP. REG)'!$F$224:$I$331,4,FALSE)</f>
        <v>19</v>
      </c>
      <c r="BG51" s="73">
        <f>VLOOKUP(UNG.[[#This Row],[CURSO]],'[1]POS_VIVO_0112 a 3101_CAMP. REG)'!$F$224:$J$331,5,FALSE)</f>
        <v>320.59937400000007</v>
      </c>
      <c r="BH51" s="72">
        <f>VLOOKUP(UNG.[[#This Row],[CURSO]],'[1]POS_VIVO_0112 a 3101_CAMP. REG)'!$F$224:$L$331,7,FALSE)</f>
        <v>0.4</v>
      </c>
      <c r="BI51" s="73">
        <f>VLOOKUP(UNG.[[#This Row],[CURSO]],'[1]POS_VIVO_0112 a 3101_CAMP. REG)'!$F$224:$M$331,8,FALSE)</f>
        <v>173.12</v>
      </c>
      <c r="BJ51" s="72">
        <f>VLOOKUP(UNG.[[#This Row],[CURSO]],'[1]POS_VIVO_0112 a 3101_CAMP. REG)'!$F$224:$P$331,11,FALSE)</f>
        <v>0.45</v>
      </c>
      <c r="BK51" s="73">
        <f>VLOOKUP(UNG.[[#This Row],[CURSO]],'[1]POS_VIVO_0112 a 3101_CAMP. REG)'!$F$224:$Q$331,12,FALSE)</f>
        <v>158.69999999999999</v>
      </c>
      <c r="BL51" s="75">
        <f>UNG.[[#This Row],[Nº Parcelas]]</f>
        <v>19</v>
      </c>
      <c r="BM51" s="75">
        <f>UNG.[[#This Row],[Nº Parcelas normal2]]-1</f>
        <v>18</v>
      </c>
      <c r="BN51" s="73">
        <f>UNG.[[#This Row],[$ NORMAL]]</f>
        <v>320.59937400000007</v>
      </c>
      <c r="BO51" s="72">
        <f>UNG.[[#This Row],[%  SITE]]</f>
        <v>0.4</v>
      </c>
      <c r="BP51" s="73">
        <f>UNG.[[#This Row],[$ SITE]]</f>
        <v>173.12</v>
      </c>
      <c r="BQ51" s="72">
        <f>UNG.[[#This Row],[%  SGP]]</f>
        <v>0.45</v>
      </c>
      <c r="BR51" s="73">
        <f>UNG.[[#This Row],[$ SGP]]</f>
        <v>158.69999999999999</v>
      </c>
      <c r="BS51" s="69" t="s">
        <v>351</v>
      </c>
      <c r="BT51" s="69" t="s">
        <v>372</v>
      </c>
      <c r="BV51" s="121" t="s">
        <v>293</v>
      </c>
      <c r="BW51" s="69" t="s">
        <v>19</v>
      </c>
      <c r="BX51" s="69" t="str">
        <f>VLOOKUP(UNINASSAU.[[#This Row],[CURSO]],'[1]POS_VIVO_0112 a 3101_CAMP. REG)'!$F$333:$G$447,2,FALSE)</f>
        <v>Saúde</v>
      </c>
      <c r="BY51" s="68">
        <f>VLOOKUP(UNINASSAU.[[#This Row],[CURSO]],'[1]POS_VIVO_0112 a 3101_CAMP. REG)'!$F$333:$H$447,3,FALSE)</f>
        <v>18</v>
      </c>
      <c r="BZ51" s="68">
        <f>VLOOKUP(UNINASSAU.[[#This Row],[CURSO]],'[1]POS_VIVO_0112 a 3101_CAMP. REG)'!$F$333:$I$447,4,FALSE)</f>
        <v>19</v>
      </c>
      <c r="CA51" s="73">
        <f>VLOOKUP(UNINASSAU.[[#This Row],[CURSO]],'[1]POS_VIVO_0112 a 3101_CAMP. REG)'!$F$333:$J$447,5,FALSE)</f>
        <v>320.59937400000007</v>
      </c>
      <c r="CB51" s="72">
        <f>VLOOKUP(UNINASSAU.[[#This Row],[CURSO]],'[1]POS_VIVO_0112 a 3101_CAMP. REG)'!$F$333:$L$447,7,FALSE)</f>
        <v>0.4</v>
      </c>
      <c r="CC51" s="73">
        <f>VLOOKUP(UNINASSAU.[[#This Row],[CURSO]],'[1]POS_VIVO_0112 a 3101_CAMP. REG)'!$F$333:$M$447,8,FALSE)</f>
        <v>173.12</v>
      </c>
      <c r="CD51" s="72">
        <f>VLOOKUP(UNINASSAU.[[#This Row],[CURSO]],'[1]POS_VIVO_0112 a 3101_CAMP. REG)'!$F$333:$P$447,11,FALSE)</f>
        <v>0.45</v>
      </c>
      <c r="CE51" s="73">
        <f>VLOOKUP(UNINASSAU.[[#This Row],[CURSO]],'[1]POS_VIVO_0112 a 3101_CAMP. REG)'!$F$333:$Q$447,12,FALSE)</f>
        <v>158.69999999999999</v>
      </c>
      <c r="CF51" s="75">
        <f>UNINASSAU.[[#This Row],[Nº Parcelas]]</f>
        <v>19</v>
      </c>
      <c r="CG51" s="75">
        <f>UNINASSAU.[[#This Row],[Nº Parcelas normal2]]-1</f>
        <v>18</v>
      </c>
      <c r="CH51" s="73">
        <f>UNINASSAU.[[#This Row],[$ NORMAL]]</f>
        <v>320.59937400000007</v>
      </c>
      <c r="CI51" s="72">
        <f>UNINASSAU.[[#This Row],[%  SITE]]</f>
        <v>0.4</v>
      </c>
      <c r="CJ51" s="73">
        <f>UNINASSAU.[[#This Row],[$ SITE]]</f>
        <v>173.12</v>
      </c>
      <c r="CK51" s="72">
        <f>UNINASSAU.[[#This Row],[%  SGP]]</f>
        <v>0.45</v>
      </c>
      <c r="CL51" s="73">
        <f>UNINASSAU.[[#This Row],[$ SGP]]</f>
        <v>158.69999999999999</v>
      </c>
      <c r="CM51" s="69" t="s">
        <v>351</v>
      </c>
      <c r="CN51" s="69" t="s">
        <v>372</v>
      </c>
      <c r="CP51" s="104">
        <v>48</v>
      </c>
      <c r="CQ51" s="121" t="s">
        <v>113</v>
      </c>
    </row>
    <row r="52" spans="14:95" ht="16.5" customHeight="1" x14ac:dyDescent="0.25">
      <c r="N52" s="121" t="s">
        <v>340</v>
      </c>
      <c r="O52" s="69" t="s">
        <v>19</v>
      </c>
      <c r="P52" s="69" t="str">
        <f>VLOOKUP(UNIFAEL.[[#This Row],[CURSO]],'[1]POS_VIVO_0112 a 3101_CAMP. REG)'!$F$5:$G$113,2,FALSE)</f>
        <v>Direito</v>
      </c>
      <c r="Q52" s="68">
        <f>VLOOKUP(UNIFAEL.[[#This Row],[CURSO]],'[1]POS_VIVO_0112 a 3101_CAMP. REG)'!$F$5:$H$113,3,FALSE)</f>
        <v>18</v>
      </c>
      <c r="R52" s="68">
        <f>VLOOKUP(UNIFAEL.[[#This Row],[CURSO]],'[1]POS_VIVO_0112 a 3101_CAMP. REG)'!$F$5:$I$113,4,FALSE)</f>
        <v>19</v>
      </c>
      <c r="S52" s="73">
        <f>VLOOKUP(UNIFAEL.[[#This Row],[CURSO]],'[1]POS_VIVO_0112 a 3101_CAMP. REG)'!$F$5:$J$113,5,FALSE)</f>
        <v>419.73304200000007</v>
      </c>
      <c r="T52" s="124">
        <f>VLOOKUP(UNIFAEL.[[#This Row],[CURSO]],'[1]POS_VIVO_0112 a 3101_CAMP. REG)'!$F$5:$L$113,7,FALSE)</f>
        <v>0.4</v>
      </c>
      <c r="U52" s="71">
        <f>VLOOKUP(UNIFAEL.[[#This Row],[CURSO]],'[1]POS_VIVO_0112 a 3101_CAMP. REG)'!$F$5:$M$113,8,FALSE)</f>
        <v>226.66</v>
      </c>
      <c r="V52" s="72">
        <f>VLOOKUP(UNIFAEL.[[#This Row],[CURSO]],'[1]POS_VIVO_0112 a 3101_CAMP. REG)'!$F$5:$P$113,11,FALSE)</f>
        <v>0.45</v>
      </c>
      <c r="W52" s="73">
        <f>VLOOKUP(UNIFAEL.[[#This Row],[CURSO]],'[1]POS_VIVO_0112 a 3101_CAMP. REG)'!$F$5:$Q$113,12,FALSE)</f>
        <v>207.77</v>
      </c>
      <c r="X52" s="75">
        <f>UNIFAEL.[[#This Row],[Nº Parcelas]]</f>
        <v>19</v>
      </c>
      <c r="Y52" s="75">
        <f>UNIFAEL.[[#This Row],[Nº Parcelas normal2]]-1</f>
        <v>18</v>
      </c>
      <c r="Z52" s="73">
        <f>UNIFAEL.[[#This Row],[$ NORMAL]]</f>
        <v>419.73304200000007</v>
      </c>
      <c r="AA52" s="72">
        <f>UNIFAEL.[[#This Row],[%  SITE]]</f>
        <v>0.4</v>
      </c>
      <c r="AB52" s="73">
        <f>UNIFAEL.[[#This Row],[$ SITE]]</f>
        <v>226.66</v>
      </c>
      <c r="AC52" s="72">
        <f>UNIFAEL.[[#This Row],[%  SGP]]</f>
        <v>0.45</v>
      </c>
      <c r="AD52" s="73">
        <f>UNIFAEL.[[#This Row],[$ SGP]]</f>
        <v>207.77</v>
      </c>
      <c r="AE52" s="69" t="s">
        <v>371</v>
      </c>
      <c r="AF52" s="69" t="s">
        <v>372</v>
      </c>
      <c r="AH52" s="121" t="s">
        <v>340</v>
      </c>
      <c r="AI52" s="69" t="s">
        <v>19</v>
      </c>
      <c r="AJ52" s="69" t="str">
        <f>VLOOKUP(UNAMA.[[#This Row],[PARCELA MATRICULA NÃO PAGA]],'[1]POS_VIVO_0112 a 3101_CAMP. REG)'!$F$115:$G$222,2,FALSE)</f>
        <v>Direito</v>
      </c>
      <c r="AK52" s="69">
        <f>VLOOKUP(UNAMA.[[#This Row],[PARCELA MATRICULA NÃO PAGA]],'[1]POS_VIVO_0112 a 3101_CAMP. REG)'!$F$115:$H$222,3,FALSE)</f>
        <v>18</v>
      </c>
      <c r="AL52" s="69">
        <f>VLOOKUP(UNAMA.[[#This Row],[PARCELA MATRICULA NÃO PAGA]],'[1]POS_VIVO_0112 a 3101_CAMP. REG)'!$F$115:$I$222,4,FALSE)</f>
        <v>19</v>
      </c>
      <c r="AM52" s="73">
        <f>VLOOKUP(UNAMA.[[#This Row],[PARCELA MATRICULA NÃO PAGA]],'[1]POS_VIVO_0112 a 3101_CAMP. REG)'!$F$115:$J$222,5,FALSE)</f>
        <v>461.71054500000008</v>
      </c>
      <c r="AN52" s="123">
        <f>VLOOKUP(UNAMA.[[#This Row],[PARCELA MATRICULA NÃO PAGA]],'[1]POS_VIVO_0112 a 3101_CAMP. REG)'!$F$115:$L$222,7,FALSE)</f>
        <v>0.4</v>
      </c>
      <c r="AO52" s="73">
        <f>VLOOKUP(UNAMA.[[#This Row],[PARCELA MATRICULA NÃO PAGA]],'[1]POS_VIVO_0112 a 3101_CAMP. REG)'!$F$115:$M$222,8,FALSE)</f>
        <v>249.32</v>
      </c>
      <c r="AP52" s="72">
        <f>VLOOKUP(UNAMA.[[#This Row],[PARCELA MATRICULA NÃO PAGA]],'[1]POS_VIVO_0112 a 3101_CAMP. REG)'!$F$115:$P$222,11,FALSE)</f>
        <v>0.45</v>
      </c>
      <c r="AQ52" s="73">
        <f>VLOOKUP(UNAMA.[[#This Row],[PARCELA MATRICULA NÃO PAGA]],'[1]POS_VIVO_0112 a 3101_CAMP. REG)'!$F$115:$Q$222,12,FALSE)</f>
        <v>228.55</v>
      </c>
      <c r="AR52" s="68">
        <f>UNAMA.[[#This Row],[Nº Parcelas]]</f>
        <v>19</v>
      </c>
      <c r="AS52" s="68">
        <f>UNAMA.[[#This Row],[Nº Parcelas normal2]]-1</f>
        <v>18</v>
      </c>
      <c r="AT52" s="71">
        <f>UNAMA.[[#This Row],[$ NORMAL]]</f>
        <v>461.71054500000008</v>
      </c>
      <c r="AU52" s="162">
        <f>UNAMA.[[#This Row],[%  SITE]]</f>
        <v>0.4</v>
      </c>
      <c r="AV52" s="161">
        <f>UNAMA.[[#This Row],[$ SITE]]</f>
        <v>249.32</v>
      </c>
      <c r="AW52" s="162">
        <f>UNAMA.[[#This Row],[%  SGP]]</f>
        <v>0.45</v>
      </c>
      <c r="AX52" s="161">
        <f>UNAMA.[[#This Row],[$ SGP]]</f>
        <v>228.55</v>
      </c>
      <c r="AY52" s="69" t="s">
        <v>351</v>
      </c>
      <c r="AZ52" s="69" t="s">
        <v>372</v>
      </c>
      <c r="BB52" s="121" t="s">
        <v>340</v>
      </c>
      <c r="BC52" s="69" t="s">
        <v>19</v>
      </c>
      <c r="BD52" s="68" t="str">
        <f>VLOOKUP(UNG.[[#This Row],[CURSO]],'[1]POS_VIVO_0112 a 3101_CAMP. REG)'!$F$224:$G$331,2,FALSE)</f>
        <v>Direito</v>
      </c>
      <c r="BE52" s="70">
        <f>VLOOKUP(UNG.[[#This Row],[CURSO]],'[1]POS_VIVO_0112 a 3101_CAMP. REG)'!$F$224:$H$331,3,FALSE)</f>
        <v>18</v>
      </c>
      <c r="BF52" s="70">
        <f>VLOOKUP(UNG.[[#This Row],[CURSO]],'[1]POS_VIVO_0112 a 3101_CAMP. REG)'!$F$224:$I$331,4,FALSE)</f>
        <v>19</v>
      </c>
      <c r="BG52" s="73">
        <f>VLOOKUP(UNG.[[#This Row],[CURSO]],'[1]POS_VIVO_0112 a 3101_CAMP. REG)'!$F$224:$J$331,5,FALSE)</f>
        <v>419.73304200000007</v>
      </c>
      <c r="BH52" s="72">
        <f>VLOOKUP(UNG.[[#This Row],[CURSO]],'[1]POS_VIVO_0112 a 3101_CAMP. REG)'!$F$224:$L$331,7,FALSE)</f>
        <v>0.4</v>
      </c>
      <c r="BI52" s="73">
        <f>VLOOKUP(UNG.[[#This Row],[CURSO]],'[1]POS_VIVO_0112 a 3101_CAMP. REG)'!$F$224:$M$331,8,FALSE)</f>
        <v>226.66</v>
      </c>
      <c r="BJ52" s="72">
        <f>VLOOKUP(UNG.[[#This Row],[CURSO]],'[1]POS_VIVO_0112 a 3101_CAMP. REG)'!$F$224:$P$331,11,FALSE)</f>
        <v>0.45</v>
      </c>
      <c r="BK52" s="73">
        <f>VLOOKUP(UNG.[[#This Row],[CURSO]],'[1]POS_VIVO_0112 a 3101_CAMP. REG)'!$F$224:$Q$331,12,FALSE)</f>
        <v>207.77</v>
      </c>
      <c r="BL52" s="75">
        <f>UNG.[[#This Row],[Nº Parcelas]]</f>
        <v>19</v>
      </c>
      <c r="BM52" s="75">
        <f>UNG.[[#This Row],[Nº Parcelas normal2]]-1</f>
        <v>18</v>
      </c>
      <c r="BN52" s="73">
        <f>UNG.[[#This Row],[$ NORMAL]]</f>
        <v>419.73304200000007</v>
      </c>
      <c r="BO52" s="72">
        <f>UNG.[[#This Row],[%  SITE]]</f>
        <v>0.4</v>
      </c>
      <c r="BP52" s="73">
        <f>UNG.[[#This Row],[$ SITE]]</f>
        <v>226.66</v>
      </c>
      <c r="BQ52" s="72">
        <f>UNG.[[#This Row],[%  SGP]]</f>
        <v>0.45</v>
      </c>
      <c r="BR52" s="73">
        <f>UNG.[[#This Row],[$ SGP]]</f>
        <v>207.77</v>
      </c>
      <c r="BS52" s="69" t="s">
        <v>351</v>
      </c>
      <c r="BT52" s="69" t="s">
        <v>372</v>
      </c>
      <c r="BV52" s="121" t="s">
        <v>340</v>
      </c>
      <c r="BW52" s="69" t="s">
        <v>19</v>
      </c>
      <c r="BX52" s="69" t="str">
        <f>VLOOKUP(UNINASSAU.[[#This Row],[CURSO]],'[1]POS_VIVO_0112 a 3101_CAMP. REG)'!$F$333:$G$447,2,FALSE)</f>
        <v>Direito</v>
      </c>
      <c r="BY52" s="68">
        <f>VLOOKUP(UNINASSAU.[[#This Row],[CURSO]],'[1]POS_VIVO_0112 a 3101_CAMP. REG)'!$F$333:$H$447,3,FALSE)</f>
        <v>18</v>
      </c>
      <c r="BZ52" s="68">
        <f>VLOOKUP(UNINASSAU.[[#This Row],[CURSO]],'[1]POS_VIVO_0112 a 3101_CAMP. REG)'!$F$333:$I$447,4,FALSE)</f>
        <v>19</v>
      </c>
      <c r="CA52" s="73">
        <f>VLOOKUP(UNINASSAU.[[#This Row],[CURSO]],'[1]POS_VIVO_0112 a 3101_CAMP. REG)'!$F$333:$J$447,5,FALSE)</f>
        <v>419.73304200000007</v>
      </c>
      <c r="CB52" s="72">
        <f>VLOOKUP(UNINASSAU.[[#This Row],[CURSO]],'[1]POS_VIVO_0112 a 3101_CAMP. REG)'!$F$333:$L$447,7,FALSE)</f>
        <v>0.4</v>
      </c>
      <c r="CC52" s="73">
        <f>VLOOKUP(UNINASSAU.[[#This Row],[CURSO]],'[1]POS_VIVO_0112 a 3101_CAMP. REG)'!$F$333:$M$447,8,FALSE)</f>
        <v>226.66</v>
      </c>
      <c r="CD52" s="72">
        <f>VLOOKUP(UNINASSAU.[[#This Row],[CURSO]],'[1]POS_VIVO_0112 a 3101_CAMP. REG)'!$F$333:$P$447,11,FALSE)</f>
        <v>0.45</v>
      </c>
      <c r="CE52" s="73">
        <f>VLOOKUP(UNINASSAU.[[#This Row],[CURSO]],'[1]POS_VIVO_0112 a 3101_CAMP. REG)'!$F$333:$Q$447,12,FALSE)</f>
        <v>207.77</v>
      </c>
      <c r="CF52" s="75">
        <f>UNINASSAU.[[#This Row],[Nº Parcelas]]</f>
        <v>19</v>
      </c>
      <c r="CG52" s="75">
        <f>UNINASSAU.[[#This Row],[Nº Parcelas normal2]]-1</f>
        <v>18</v>
      </c>
      <c r="CH52" s="73">
        <f>UNINASSAU.[[#This Row],[$ NORMAL]]</f>
        <v>419.73304200000007</v>
      </c>
      <c r="CI52" s="72">
        <f>UNINASSAU.[[#This Row],[%  SITE]]</f>
        <v>0.4</v>
      </c>
      <c r="CJ52" s="73">
        <f>UNINASSAU.[[#This Row],[$ SITE]]</f>
        <v>226.66</v>
      </c>
      <c r="CK52" s="72">
        <f>UNINASSAU.[[#This Row],[%  SGP]]</f>
        <v>0.45</v>
      </c>
      <c r="CL52" s="73">
        <f>UNINASSAU.[[#This Row],[$ SGP]]</f>
        <v>207.77</v>
      </c>
      <c r="CM52" s="69" t="s">
        <v>351</v>
      </c>
      <c r="CN52" s="69" t="s">
        <v>372</v>
      </c>
      <c r="CP52" s="104">
        <v>49</v>
      </c>
      <c r="CQ52" s="121" t="s">
        <v>286</v>
      </c>
    </row>
    <row r="53" spans="14:95" ht="16.5" customHeight="1" x14ac:dyDescent="0.25">
      <c r="N53" s="121" t="s">
        <v>309</v>
      </c>
      <c r="O53" s="69" t="s">
        <v>19</v>
      </c>
      <c r="P53" s="69" t="str">
        <f>VLOOKUP(UNIFAEL.[[#This Row],[CURSO]],'[1]POS_VIVO_0112 a 3101_CAMP. REG)'!$F$5:$G$113,2,FALSE)</f>
        <v>Saúde</v>
      </c>
      <c r="Q53" s="68">
        <f>VLOOKUP(UNIFAEL.[[#This Row],[CURSO]],'[1]POS_VIVO_0112 a 3101_CAMP. REG)'!$F$5:$H$113,3,FALSE)</f>
        <v>12</v>
      </c>
      <c r="R53" s="68">
        <f>VLOOKUP(UNIFAEL.[[#This Row],[CURSO]],'[1]POS_VIVO_0112 a 3101_CAMP. REG)'!$F$5:$I$113,4,FALSE)</f>
        <v>19</v>
      </c>
      <c r="S53" s="73">
        <f>VLOOKUP(UNIFAEL.[[#This Row],[CURSO]],'[1]POS_VIVO_0112 a 3101_CAMP. REG)'!$F$5:$J$113,5,FALSE)</f>
        <v>291.43870800000002</v>
      </c>
      <c r="T53" s="124">
        <f>VLOOKUP(UNIFAEL.[[#This Row],[CURSO]],'[1]POS_VIVO_0112 a 3101_CAMP. REG)'!$F$5:$L$113,7,FALSE)</f>
        <v>0.5</v>
      </c>
      <c r="U53" s="71">
        <f>VLOOKUP(UNIFAEL.[[#This Row],[CURSO]],'[1]POS_VIVO_0112 a 3101_CAMP. REG)'!$F$5:$M$113,8,FALSE)</f>
        <v>131.15</v>
      </c>
      <c r="V53" s="72">
        <f>VLOOKUP(UNIFAEL.[[#This Row],[CURSO]],'[1]POS_VIVO_0112 a 3101_CAMP. REG)'!$F$5:$P$113,11,FALSE)</f>
        <v>0.55000000000000004</v>
      </c>
      <c r="W53" s="73">
        <f>VLOOKUP(UNIFAEL.[[#This Row],[CURSO]],'[1]POS_VIVO_0112 a 3101_CAMP. REG)'!$F$5:$Q$113,12,FALSE)</f>
        <v>118.03</v>
      </c>
      <c r="X53" s="75">
        <f>UNIFAEL.[[#This Row],[Nº Parcelas]]</f>
        <v>19</v>
      </c>
      <c r="Y53" s="75">
        <f>UNIFAEL.[[#This Row],[Nº Parcelas normal2]]-1</f>
        <v>18</v>
      </c>
      <c r="Z53" s="73">
        <f>UNIFAEL.[[#This Row],[$ NORMAL]]</f>
        <v>291.43870800000002</v>
      </c>
      <c r="AA53" s="72">
        <f>UNIFAEL.[[#This Row],[%  SITE]]</f>
        <v>0.5</v>
      </c>
      <c r="AB53" s="73">
        <f>UNIFAEL.[[#This Row],[$ SITE]]</f>
        <v>131.15</v>
      </c>
      <c r="AC53" s="72">
        <f>UNIFAEL.[[#This Row],[%  SGP]]</f>
        <v>0.55000000000000004</v>
      </c>
      <c r="AD53" s="73">
        <f>UNIFAEL.[[#This Row],[$ SGP]]</f>
        <v>118.03</v>
      </c>
      <c r="AE53" s="69" t="s">
        <v>371</v>
      </c>
      <c r="AF53" s="69" t="s">
        <v>372</v>
      </c>
      <c r="AH53" s="121" t="s">
        <v>309</v>
      </c>
      <c r="AI53" s="69" t="s">
        <v>19</v>
      </c>
      <c r="AJ53" s="69" t="str">
        <f>VLOOKUP(UNAMA.[[#This Row],[PARCELA MATRICULA NÃO PAGA]],'[1]POS_VIVO_0112 a 3101_CAMP. REG)'!$F$115:$G$222,2,FALSE)</f>
        <v>Saúde</v>
      </c>
      <c r="AK53" s="69">
        <f>VLOOKUP(UNAMA.[[#This Row],[PARCELA MATRICULA NÃO PAGA]],'[1]POS_VIVO_0112 a 3101_CAMP. REG)'!$F$115:$H$222,3,FALSE)</f>
        <v>12</v>
      </c>
      <c r="AL53" s="69">
        <f>VLOOKUP(UNAMA.[[#This Row],[PARCELA MATRICULA NÃO PAGA]],'[1]POS_VIVO_0112 a 3101_CAMP. REG)'!$F$115:$I$222,4,FALSE)</f>
        <v>19</v>
      </c>
      <c r="AM53" s="73">
        <f>VLOOKUP(UNAMA.[[#This Row],[PARCELA MATRICULA NÃO PAGA]],'[1]POS_VIVO_0112 a 3101_CAMP. REG)'!$F$115:$J$222,5,FALSE)</f>
        <v>320.59937400000007</v>
      </c>
      <c r="AN53" s="123">
        <f>VLOOKUP(UNAMA.[[#This Row],[PARCELA MATRICULA NÃO PAGA]],'[1]POS_VIVO_0112 a 3101_CAMP. REG)'!$F$115:$L$222,7,FALSE)</f>
        <v>0.5</v>
      </c>
      <c r="AO53" s="73">
        <f>VLOOKUP(UNAMA.[[#This Row],[PARCELA MATRICULA NÃO PAGA]],'[1]POS_VIVO_0112 a 3101_CAMP. REG)'!$F$115:$M$222,8,FALSE)</f>
        <v>144.27000000000001</v>
      </c>
      <c r="AP53" s="72">
        <f>VLOOKUP(UNAMA.[[#This Row],[PARCELA MATRICULA NÃO PAGA]],'[1]POS_VIVO_0112 a 3101_CAMP. REG)'!$F$115:$P$222,11,FALSE)</f>
        <v>0.55000000000000004</v>
      </c>
      <c r="AQ53" s="73">
        <f>VLOOKUP(UNAMA.[[#This Row],[PARCELA MATRICULA NÃO PAGA]],'[1]POS_VIVO_0112 a 3101_CAMP. REG)'!$F$115:$Q$222,12,FALSE)</f>
        <v>129.84</v>
      </c>
      <c r="AR53" s="68">
        <f>UNAMA.[[#This Row],[Nº Parcelas]]</f>
        <v>19</v>
      </c>
      <c r="AS53" s="68">
        <f>UNAMA.[[#This Row],[Nº Parcelas normal2]]-1</f>
        <v>18</v>
      </c>
      <c r="AT53" s="71">
        <f>UNAMA.[[#This Row],[$ NORMAL]]</f>
        <v>320.59937400000007</v>
      </c>
      <c r="AU53" s="162">
        <f>UNAMA.[[#This Row],[%  SITE]]</f>
        <v>0.5</v>
      </c>
      <c r="AV53" s="161">
        <f>UNAMA.[[#This Row],[$ SITE]]</f>
        <v>144.27000000000001</v>
      </c>
      <c r="AW53" s="162">
        <f>UNAMA.[[#This Row],[%  SGP]]</f>
        <v>0.55000000000000004</v>
      </c>
      <c r="AX53" s="161">
        <f>UNAMA.[[#This Row],[$ SGP]]</f>
        <v>129.84</v>
      </c>
      <c r="AY53" s="69" t="s">
        <v>351</v>
      </c>
      <c r="AZ53" s="69" t="s">
        <v>372</v>
      </c>
      <c r="BB53" s="121" t="s">
        <v>309</v>
      </c>
      <c r="BC53" s="69" t="s">
        <v>19</v>
      </c>
      <c r="BD53" s="68" t="str">
        <f>VLOOKUP(UNG.[[#This Row],[CURSO]],'[1]POS_VIVO_0112 a 3101_CAMP. REG)'!$F$224:$G$331,2,FALSE)</f>
        <v>Saúde</v>
      </c>
      <c r="BE53" s="70">
        <f>VLOOKUP(UNG.[[#This Row],[CURSO]],'[1]POS_VIVO_0112 a 3101_CAMP. REG)'!$F$224:$H$331,3,FALSE)</f>
        <v>12</v>
      </c>
      <c r="BF53" s="70">
        <f>VLOOKUP(UNG.[[#This Row],[CURSO]],'[1]POS_VIVO_0112 a 3101_CAMP. REG)'!$F$224:$I$331,4,FALSE)</f>
        <v>19</v>
      </c>
      <c r="BG53" s="73">
        <f>VLOOKUP(UNG.[[#This Row],[CURSO]],'[1]POS_VIVO_0112 a 3101_CAMP. REG)'!$F$224:$J$331,5,FALSE)</f>
        <v>291.43870800000002</v>
      </c>
      <c r="BH53" s="72">
        <f>VLOOKUP(UNG.[[#This Row],[CURSO]],'[1]POS_VIVO_0112 a 3101_CAMP. REG)'!$F$224:$L$331,7,FALSE)</f>
        <v>0.5</v>
      </c>
      <c r="BI53" s="73">
        <f>VLOOKUP(UNG.[[#This Row],[CURSO]],'[1]POS_VIVO_0112 a 3101_CAMP. REG)'!$F$224:$M$331,8,FALSE)</f>
        <v>131.15</v>
      </c>
      <c r="BJ53" s="72">
        <f>VLOOKUP(UNG.[[#This Row],[CURSO]],'[1]POS_VIVO_0112 a 3101_CAMP. REG)'!$F$224:$P$331,11,FALSE)</f>
        <v>0.55000000000000004</v>
      </c>
      <c r="BK53" s="73">
        <f>VLOOKUP(UNG.[[#This Row],[CURSO]],'[1]POS_VIVO_0112 a 3101_CAMP. REG)'!$F$224:$Q$331,12,FALSE)</f>
        <v>118.03</v>
      </c>
      <c r="BL53" s="75">
        <f>UNG.[[#This Row],[Nº Parcelas]]</f>
        <v>19</v>
      </c>
      <c r="BM53" s="75">
        <f>UNG.[[#This Row],[Nº Parcelas normal2]]-1</f>
        <v>18</v>
      </c>
      <c r="BN53" s="73">
        <f>UNG.[[#This Row],[$ NORMAL]]</f>
        <v>291.43870800000002</v>
      </c>
      <c r="BO53" s="72">
        <f>UNG.[[#This Row],[%  SITE]]</f>
        <v>0.5</v>
      </c>
      <c r="BP53" s="73">
        <f>UNG.[[#This Row],[$ SITE]]</f>
        <v>131.15</v>
      </c>
      <c r="BQ53" s="72">
        <f>UNG.[[#This Row],[%  SGP]]</f>
        <v>0.55000000000000004</v>
      </c>
      <c r="BR53" s="73">
        <f>UNG.[[#This Row],[$ SGP]]</f>
        <v>118.03</v>
      </c>
      <c r="BS53" s="69" t="s">
        <v>351</v>
      </c>
      <c r="BT53" s="69" t="s">
        <v>372</v>
      </c>
      <c r="BV53" s="121" t="s">
        <v>309</v>
      </c>
      <c r="BW53" s="69" t="s">
        <v>19</v>
      </c>
      <c r="BX53" s="69" t="str">
        <f>VLOOKUP(UNINASSAU.[[#This Row],[CURSO]],'[1]POS_VIVO_0112 a 3101_CAMP. REG)'!$F$333:$G$447,2,FALSE)</f>
        <v>Saúde</v>
      </c>
      <c r="BY53" s="68">
        <f>VLOOKUP(UNINASSAU.[[#This Row],[CURSO]],'[1]POS_VIVO_0112 a 3101_CAMP. REG)'!$F$333:$H$447,3,FALSE)</f>
        <v>12</v>
      </c>
      <c r="BZ53" s="68">
        <f>VLOOKUP(UNINASSAU.[[#This Row],[CURSO]],'[1]POS_VIVO_0112 a 3101_CAMP. REG)'!$F$333:$I$447,4,FALSE)</f>
        <v>19</v>
      </c>
      <c r="CA53" s="73">
        <f>VLOOKUP(UNINASSAU.[[#This Row],[CURSO]],'[1]POS_VIVO_0112 a 3101_CAMP. REG)'!$F$333:$J$447,5,FALSE)</f>
        <v>291.43870800000002</v>
      </c>
      <c r="CB53" s="72">
        <f>VLOOKUP(UNINASSAU.[[#This Row],[CURSO]],'[1]POS_VIVO_0112 a 3101_CAMP. REG)'!$F$333:$L$447,7,FALSE)</f>
        <v>0.5</v>
      </c>
      <c r="CC53" s="73">
        <f>VLOOKUP(UNINASSAU.[[#This Row],[CURSO]],'[1]POS_VIVO_0112 a 3101_CAMP. REG)'!$F$333:$M$447,8,FALSE)</f>
        <v>131.15</v>
      </c>
      <c r="CD53" s="72">
        <f>VLOOKUP(UNINASSAU.[[#This Row],[CURSO]],'[1]POS_VIVO_0112 a 3101_CAMP. REG)'!$F$333:$P$447,11,FALSE)</f>
        <v>0.55000000000000004</v>
      </c>
      <c r="CE53" s="73">
        <f>VLOOKUP(UNINASSAU.[[#This Row],[CURSO]],'[1]POS_VIVO_0112 a 3101_CAMP. REG)'!$F$333:$Q$447,12,FALSE)</f>
        <v>118.03</v>
      </c>
      <c r="CF53" s="75">
        <f>UNINASSAU.[[#This Row],[Nº Parcelas]]</f>
        <v>19</v>
      </c>
      <c r="CG53" s="75">
        <f>UNINASSAU.[[#This Row],[Nº Parcelas normal2]]-1</f>
        <v>18</v>
      </c>
      <c r="CH53" s="73">
        <f>UNINASSAU.[[#This Row],[$ NORMAL]]</f>
        <v>291.43870800000002</v>
      </c>
      <c r="CI53" s="72">
        <f>UNINASSAU.[[#This Row],[%  SITE]]</f>
        <v>0.5</v>
      </c>
      <c r="CJ53" s="73">
        <f>UNINASSAU.[[#This Row],[$ SITE]]</f>
        <v>131.15</v>
      </c>
      <c r="CK53" s="72">
        <f>UNINASSAU.[[#This Row],[%  SGP]]</f>
        <v>0.55000000000000004</v>
      </c>
      <c r="CL53" s="73">
        <f>UNINASSAU.[[#This Row],[$ SGP]]</f>
        <v>118.03</v>
      </c>
      <c r="CM53" s="69" t="s">
        <v>351</v>
      </c>
      <c r="CN53" s="69" t="s">
        <v>372</v>
      </c>
      <c r="CP53" s="104">
        <v>50</v>
      </c>
      <c r="CQ53" s="121" t="s">
        <v>311</v>
      </c>
    </row>
    <row r="54" spans="14:95" ht="16.5" customHeight="1" x14ac:dyDescent="0.25">
      <c r="N54" s="121" t="s">
        <v>310</v>
      </c>
      <c r="O54" s="69" t="s">
        <v>19</v>
      </c>
      <c r="P54" s="69" t="str">
        <f>VLOOKUP(UNIFAEL.[[#This Row],[CURSO]],'[1]POS_VIVO_0112 a 3101_CAMP. REG)'!$F$5:$G$113,2,FALSE)</f>
        <v>Saúde</v>
      </c>
      <c r="Q54" s="68">
        <f>VLOOKUP(UNIFAEL.[[#This Row],[CURSO]],'[1]POS_VIVO_0112 a 3101_CAMP. REG)'!$F$5:$H$113,3,FALSE)</f>
        <v>12</v>
      </c>
      <c r="R54" s="68">
        <f>VLOOKUP(UNIFAEL.[[#This Row],[CURSO]],'[1]POS_VIVO_0112 a 3101_CAMP. REG)'!$F$5:$I$113,4,FALSE)</f>
        <v>19</v>
      </c>
      <c r="S54" s="73">
        <f>VLOOKUP(UNIFAEL.[[#This Row],[CURSO]],'[1]POS_VIVO_0112 a 3101_CAMP. REG)'!$F$5:$J$113,5,FALSE)</f>
        <v>291.43870800000002</v>
      </c>
      <c r="T54" s="124">
        <f>VLOOKUP(UNIFAEL.[[#This Row],[CURSO]],'[1]POS_VIVO_0112 a 3101_CAMP. REG)'!$F$5:$L$113,7,FALSE)</f>
        <v>0.5</v>
      </c>
      <c r="U54" s="71">
        <f>VLOOKUP(UNIFAEL.[[#This Row],[CURSO]],'[1]POS_VIVO_0112 a 3101_CAMP. REG)'!$F$5:$M$113,8,FALSE)</f>
        <v>131.15</v>
      </c>
      <c r="V54" s="72">
        <f>VLOOKUP(UNIFAEL.[[#This Row],[CURSO]],'[1]POS_VIVO_0112 a 3101_CAMP. REG)'!$F$5:$P$113,11,FALSE)</f>
        <v>0.55000000000000004</v>
      </c>
      <c r="W54" s="73">
        <f>VLOOKUP(UNIFAEL.[[#This Row],[CURSO]],'[1]POS_VIVO_0112 a 3101_CAMP. REG)'!$F$5:$Q$113,12,FALSE)</f>
        <v>118.03</v>
      </c>
      <c r="X54" s="75">
        <f>UNIFAEL.[[#This Row],[Nº Parcelas]]</f>
        <v>19</v>
      </c>
      <c r="Y54" s="75">
        <f>UNIFAEL.[[#This Row],[Nº Parcelas normal2]]-1</f>
        <v>18</v>
      </c>
      <c r="Z54" s="73">
        <f>UNIFAEL.[[#This Row],[$ NORMAL]]</f>
        <v>291.43870800000002</v>
      </c>
      <c r="AA54" s="72">
        <f>UNIFAEL.[[#This Row],[%  SITE]]</f>
        <v>0.5</v>
      </c>
      <c r="AB54" s="73">
        <f>UNIFAEL.[[#This Row],[$ SITE]]</f>
        <v>131.15</v>
      </c>
      <c r="AC54" s="72">
        <f>UNIFAEL.[[#This Row],[%  SGP]]</f>
        <v>0.55000000000000004</v>
      </c>
      <c r="AD54" s="73">
        <f>UNIFAEL.[[#This Row],[$ SGP]]</f>
        <v>118.03</v>
      </c>
      <c r="AE54" s="69" t="s">
        <v>371</v>
      </c>
      <c r="AF54" s="69" t="s">
        <v>372</v>
      </c>
      <c r="AH54" s="121" t="s">
        <v>310</v>
      </c>
      <c r="AI54" s="69" t="s">
        <v>19</v>
      </c>
      <c r="AJ54" s="69" t="str">
        <f>VLOOKUP(UNAMA.[[#This Row],[PARCELA MATRICULA NÃO PAGA]],'[1]POS_VIVO_0112 a 3101_CAMP. REG)'!$F$115:$G$222,2,FALSE)</f>
        <v>Saúde</v>
      </c>
      <c r="AK54" s="69">
        <f>VLOOKUP(UNAMA.[[#This Row],[PARCELA MATRICULA NÃO PAGA]],'[1]POS_VIVO_0112 a 3101_CAMP. REG)'!$F$115:$H$222,3,FALSE)</f>
        <v>12</v>
      </c>
      <c r="AL54" s="69">
        <f>VLOOKUP(UNAMA.[[#This Row],[PARCELA MATRICULA NÃO PAGA]],'[1]POS_VIVO_0112 a 3101_CAMP. REG)'!$F$115:$I$222,4,FALSE)</f>
        <v>19</v>
      </c>
      <c r="AM54" s="71">
        <f>VLOOKUP(UNAMA.[[#This Row],[PARCELA MATRICULA NÃO PAGA]],'[1]POS_VIVO_0112 a 3101_CAMP. REG)'!$F$115:$J$222,5,FALSE)</f>
        <v>320.59937400000007</v>
      </c>
      <c r="AN54" s="123">
        <f>VLOOKUP(UNAMA.[[#This Row],[PARCELA MATRICULA NÃO PAGA]],'[1]POS_VIVO_0112 a 3101_CAMP. REG)'!$F$115:$L$222,7,FALSE)</f>
        <v>0.5</v>
      </c>
      <c r="AO54" s="73">
        <f>VLOOKUP(UNAMA.[[#This Row],[PARCELA MATRICULA NÃO PAGA]],'[1]POS_VIVO_0112 a 3101_CAMP. REG)'!$F$115:$M$222,8,FALSE)</f>
        <v>144.27000000000001</v>
      </c>
      <c r="AP54" s="72">
        <f>VLOOKUP(UNAMA.[[#This Row],[PARCELA MATRICULA NÃO PAGA]],'[1]POS_VIVO_0112 a 3101_CAMP. REG)'!$F$115:$P$222,11,FALSE)</f>
        <v>0.55000000000000004</v>
      </c>
      <c r="AQ54" s="73">
        <f>VLOOKUP(UNAMA.[[#This Row],[PARCELA MATRICULA NÃO PAGA]],'[1]POS_VIVO_0112 a 3101_CAMP. REG)'!$F$115:$Q$222,12,FALSE)</f>
        <v>129.84</v>
      </c>
      <c r="AR54" s="68">
        <f>UNAMA.[[#This Row],[Nº Parcelas]]</f>
        <v>19</v>
      </c>
      <c r="AS54" s="68">
        <f>UNAMA.[[#This Row],[Nº Parcelas normal2]]-1</f>
        <v>18</v>
      </c>
      <c r="AT54" s="71">
        <f>UNAMA.[[#This Row],[$ NORMAL]]</f>
        <v>320.59937400000007</v>
      </c>
      <c r="AU54" s="162">
        <f>UNAMA.[[#This Row],[%  SITE]]</f>
        <v>0.5</v>
      </c>
      <c r="AV54" s="161">
        <f>UNAMA.[[#This Row],[$ SITE]]</f>
        <v>144.27000000000001</v>
      </c>
      <c r="AW54" s="162">
        <f>UNAMA.[[#This Row],[%  SGP]]</f>
        <v>0.55000000000000004</v>
      </c>
      <c r="AX54" s="161">
        <f>UNAMA.[[#This Row],[$ SGP]]</f>
        <v>129.84</v>
      </c>
      <c r="AY54" s="69" t="s">
        <v>351</v>
      </c>
      <c r="AZ54" s="69" t="s">
        <v>372</v>
      </c>
      <c r="BB54" s="121" t="s">
        <v>310</v>
      </c>
      <c r="BC54" s="69" t="s">
        <v>19</v>
      </c>
      <c r="BD54" s="68" t="str">
        <f>VLOOKUP(UNG.[[#This Row],[CURSO]],'[1]POS_VIVO_0112 a 3101_CAMP. REG)'!$F$224:$G$331,2,FALSE)</f>
        <v>Saúde</v>
      </c>
      <c r="BE54" s="70">
        <f>VLOOKUP(UNG.[[#This Row],[CURSO]],'[1]POS_VIVO_0112 a 3101_CAMP. REG)'!$F$224:$H$331,3,FALSE)</f>
        <v>12</v>
      </c>
      <c r="BF54" s="70">
        <f>VLOOKUP(UNG.[[#This Row],[CURSO]],'[1]POS_VIVO_0112 a 3101_CAMP. REG)'!$F$224:$I$331,4,FALSE)</f>
        <v>19</v>
      </c>
      <c r="BG54" s="73">
        <f>VLOOKUP(UNG.[[#This Row],[CURSO]],'[1]POS_VIVO_0112 a 3101_CAMP. REG)'!$F$224:$J$331,5,FALSE)</f>
        <v>291.43870800000002</v>
      </c>
      <c r="BH54" s="72">
        <f>VLOOKUP(UNG.[[#This Row],[CURSO]],'[1]POS_VIVO_0112 a 3101_CAMP. REG)'!$F$224:$L$331,7,FALSE)</f>
        <v>0.5</v>
      </c>
      <c r="BI54" s="73">
        <f>VLOOKUP(UNG.[[#This Row],[CURSO]],'[1]POS_VIVO_0112 a 3101_CAMP. REG)'!$F$224:$M$331,8,FALSE)</f>
        <v>131.15</v>
      </c>
      <c r="BJ54" s="72">
        <f>VLOOKUP(UNG.[[#This Row],[CURSO]],'[1]POS_VIVO_0112 a 3101_CAMP. REG)'!$F$224:$P$331,11,FALSE)</f>
        <v>0.55000000000000004</v>
      </c>
      <c r="BK54" s="73">
        <f>VLOOKUP(UNG.[[#This Row],[CURSO]],'[1]POS_VIVO_0112 a 3101_CAMP. REG)'!$F$224:$Q$331,12,FALSE)</f>
        <v>118.03</v>
      </c>
      <c r="BL54" s="75">
        <f>UNG.[[#This Row],[Nº Parcelas]]</f>
        <v>19</v>
      </c>
      <c r="BM54" s="75">
        <f>UNG.[[#This Row],[Nº Parcelas normal2]]-1</f>
        <v>18</v>
      </c>
      <c r="BN54" s="73">
        <f>UNG.[[#This Row],[$ NORMAL]]</f>
        <v>291.43870800000002</v>
      </c>
      <c r="BO54" s="72">
        <f>UNG.[[#This Row],[%  SITE]]</f>
        <v>0.5</v>
      </c>
      <c r="BP54" s="73">
        <f>UNG.[[#This Row],[$ SITE]]</f>
        <v>131.15</v>
      </c>
      <c r="BQ54" s="72">
        <f>UNG.[[#This Row],[%  SGP]]</f>
        <v>0.55000000000000004</v>
      </c>
      <c r="BR54" s="73">
        <f>UNG.[[#This Row],[$ SGP]]</f>
        <v>118.03</v>
      </c>
      <c r="BS54" s="69" t="s">
        <v>351</v>
      </c>
      <c r="BT54" s="69" t="s">
        <v>372</v>
      </c>
      <c r="BV54" s="121" t="s">
        <v>310</v>
      </c>
      <c r="BW54" s="69" t="s">
        <v>19</v>
      </c>
      <c r="BX54" s="69" t="str">
        <f>VLOOKUP(UNINASSAU.[[#This Row],[CURSO]],'[1]POS_VIVO_0112 a 3101_CAMP. REG)'!$F$333:$G$447,2,FALSE)</f>
        <v>Saúde</v>
      </c>
      <c r="BY54" s="68">
        <f>VLOOKUP(UNINASSAU.[[#This Row],[CURSO]],'[1]POS_VIVO_0112 a 3101_CAMP. REG)'!$F$333:$H$447,3,FALSE)</f>
        <v>12</v>
      </c>
      <c r="BZ54" s="68">
        <f>VLOOKUP(UNINASSAU.[[#This Row],[CURSO]],'[1]POS_VIVO_0112 a 3101_CAMP. REG)'!$F$333:$I$447,4,FALSE)</f>
        <v>19</v>
      </c>
      <c r="CA54" s="73">
        <f>VLOOKUP(UNINASSAU.[[#This Row],[CURSO]],'[1]POS_VIVO_0112 a 3101_CAMP. REG)'!$F$333:$J$447,5,FALSE)</f>
        <v>291.43870800000002</v>
      </c>
      <c r="CB54" s="72">
        <f>VLOOKUP(UNINASSAU.[[#This Row],[CURSO]],'[1]POS_VIVO_0112 a 3101_CAMP. REG)'!$F$333:$L$447,7,FALSE)</f>
        <v>0.5</v>
      </c>
      <c r="CC54" s="73">
        <f>VLOOKUP(UNINASSAU.[[#This Row],[CURSO]],'[1]POS_VIVO_0112 a 3101_CAMP. REG)'!$F$333:$M$447,8,FALSE)</f>
        <v>131.15</v>
      </c>
      <c r="CD54" s="72">
        <f>VLOOKUP(UNINASSAU.[[#This Row],[CURSO]],'[1]POS_VIVO_0112 a 3101_CAMP. REG)'!$F$333:$P$447,11,FALSE)</f>
        <v>0.55000000000000004</v>
      </c>
      <c r="CE54" s="73">
        <f>VLOOKUP(UNINASSAU.[[#This Row],[CURSO]],'[1]POS_VIVO_0112 a 3101_CAMP. REG)'!$F$333:$Q$447,12,FALSE)</f>
        <v>118.03</v>
      </c>
      <c r="CF54" s="75">
        <f>UNINASSAU.[[#This Row],[Nº Parcelas]]</f>
        <v>19</v>
      </c>
      <c r="CG54" s="75">
        <f>UNINASSAU.[[#This Row],[Nº Parcelas normal2]]-1</f>
        <v>18</v>
      </c>
      <c r="CH54" s="73">
        <f>UNINASSAU.[[#This Row],[$ NORMAL]]</f>
        <v>291.43870800000002</v>
      </c>
      <c r="CI54" s="72">
        <f>UNINASSAU.[[#This Row],[%  SITE]]</f>
        <v>0.5</v>
      </c>
      <c r="CJ54" s="73">
        <f>UNINASSAU.[[#This Row],[$ SITE]]</f>
        <v>131.15</v>
      </c>
      <c r="CK54" s="72">
        <f>UNINASSAU.[[#This Row],[%  SGP]]</f>
        <v>0.55000000000000004</v>
      </c>
      <c r="CL54" s="73">
        <f>UNINASSAU.[[#This Row],[$ SGP]]</f>
        <v>118.03</v>
      </c>
      <c r="CM54" s="69" t="s">
        <v>351</v>
      </c>
      <c r="CN54" s="69" t="s">
        <v>372</v>
      </c>
      <c r="CP54" s="104">
        <v>51</v>
      </c>
      <c r="CQ54" s="121" t="s">
        <v>294</v>
      </c>
    </row>
    <row r="55" spans="14:95" ht="16.5" customHeight="1" x14ac:dyDescent="0.25">
      <c r="N55" s="121" t="s">
        <v>303</v>
      </c>
      <c r="O55" s="69" t="s">
        <v>19</v>
      </c>
      <c r="P55" s="69" t="str">
        <f>VLOOKUP(UNIFAEL.[[#This Row],[CURSO]],'[1]POS_VIVO_0112 a 3101_CAMP. REG)'!$F$5:$G$113,2,FALSE)</f>
        <v>Gestão</v>
      </c>
      <c r="Q55" s="68">
        <f>VLOOKUP(UNIFAEL.[[#This Row],[CURSO]],'[1]POS_VIVO_0112 a 3101_CAMP. REG)'!$F$5:$H$113,3,FALSE)</f>
        <v>15</v>
      </c>
      <c r="R55" s="68">
        <f>VLOOKUP(UNIFAEL.[[#This Row],[CURSO]],'[1]POS_VIVO_0112 a 3101_CAMP. REG)'!$F$5:$I$113,4,FALSE)</f>
        <v>19</v>
      </c>
      <c r="S55" s="73">
        <f>VLOOKUP(UNIFAEL.[[#This Row],[CURSO]],'[1]POS_VIVO_0112 a 3101_CAMP. REG)'!$F$5:$J$113,5,FALSE)</f>
        <v>320.59937400000007</v>
      </c>
      <c r="T55" s="124">
        <f>VLOOKUP(UNIFAEL.[[#This Row],[CURSO]],'[1]POS_VIVO_0112 a 3101_CAMP. REG)'!$F$5:$L$113,7,FALSE)</f>
        <v>0.5</v>
      </c>
      <c r="U55" s="71">
        <f>VLOOKUP(UNIFAEL.[[#This Row],[CURSO]],'[1]POS_VIVO_0112 a 3101_CAMP. REG)'!$F$5:$M$113,8,FALSE)</f>
        <v>144.27000000000001</v>
      </c>
      <c r="V55" s="72">
        <f>VLOOKUP(UNIFAEL.[[#This Row],[CURSO]],'[1]POS_VIVO_0112 a 3101_CAMP. REG)'!$F$5:$P$113,11,FALSE)</f>
        <v>0.55000000000000004</v>
      </c>
      <c r="W55" s="73">
        <f>VLOOKUP(UNIFAEL.[[#This Row],[CURSO]],'[1]POS_VIVO_0112 a 3101_CAMP. REG)'!$F$5:$Q$113,12,FALSE)</f>
        <v>129.84</v>
      </c>
      <c r="X55" s="75">
        <f>UNIFAEL.[[#This Row],[Nº Parcelas]]</f>
        <v>19</v>
      </c>
      <c r="Y55" s="75">
        <f>UNIFAEL.[[#This Row],[Nº Parcelas normal2]]-1</f>
        <v>18</v>
      </c>
      <c r="Z55" s="73">
        <f>UNIFAEL.[[#This Row],[$ NORMAL]]</f>
        <v>320.59937400000007</v>
      </c>
      <c r="AA55" s="72">
        <f>UNIFAEL.[[#This Row],[%  SITE]]</f>
        <v>0.5</v>
      </c>
      <c r="AB55" s="73">
        <f>UNIFAEL.[[#This Row],[$ SITE]]</f>
        <v>144.27000000000001</v>
      </c>
      <c r="AC55" s="72">
        <f>UNIFAEL.[[#This Row],[%  SGP]]</f>
        <v>0.55000000000000004</v>
      </c>
      <c r="AD55" s="73">
        <f>UNIFAEL.[[#This Row],[$ SGP]]</f>
        <v>129.84</v>
      </c>
      <c r="AE55" s="69" t="s">
        <v>371</v>
      </c>
      <c r="AF55" s="69" t="s">
        <v>372</v>
      </c>
      <c r="AH55" s="121" t="s">
        <v>303</v>
      </c>
      <c r="AI55" s="69" t="s">
        <v>19</v>
      </c>
      <c r="AJ55" s="69" t="str">
        <f>VLOOKUP(UNAMA.[[#This Row],[PARCELA MATRICULA NÃO PAGA]],'[1]POS_VIVO_0112 a 3101_CAMP. REG)'!$F$115:$G$222,2,FALSE)</f>
        <v>Gestão</v>
      </c>
      <c r="AK55" s="69">
        <f>VLOOKUP(UNAMA.[[#This Row],[PARCELA MATRICULA NÃO PAGA]],'[1]POS_VIVO_0112 a 3101_CAMP. REG)'!$F$115:$H$222,3,FALSE)</f>
        <v>15</v>
      </c>
      <c r="AL55" s="69">
        <f>VLOOKUP(UNAMA.[[#This Row],[PARCELA MATRICULA NÃO PAGA]],'[1]POS_VIVO_0112 a 3101_CAMP. REG)'!$F$115:$I$222,4,FALSE)</f>
        <v>19</v>
      </c>
      <c r="AM55" s="71">
        <f>VLOOKUP(UNAMA.[[#This Row],[PARCELA MATRICULA NÃO PAGA]],'[1]POS_VIVO_0112 a 3101_CAMP. REG)'!$F$115:$J$222,5,FALSE)</f>
        <v>352.66770900000006</v>
      </c>
      <c r="AN55" s="123">
        <f>VLOOKUP(UNAMA.[[#This Row],[PARCELA MATRICULA NÃO PAGA]],'[1]POS_VIVO_0112 a 3101_CAMP. REG)'!$F$115:$L$222,7,FALSE)</f>
        <v>0.5</v>
      </c>
      <c r="AO55" s="73">
        <f>VLOOKUP(UNAMA.[[#This Row],[PARCELA MATRICULA NÃO PAGA]],'[1]POS_VIVO_0112 a 3101_CAMP. REG)'!$F$115:$M$222,8,FALSE)</f>
        <v>158.69999999999999</v>
      </c>
      <c r="AP55" s="72">
        <f>VLOOKUP(UNAMA.[[#This Row],[PARCELA MATRICULA NÃO PAGA]],'[1]POS_VIVO_0112 a 3101_CAMP. REG)'!$F$115:$P$222,11,FALSE)</f>
        <v>0.55000000000000004</v>
      </c>
      <c r="AQ55" s="73">
        <f>VLOOKUP(UNAMA.[[#This Row],[PARCELA MATRICULA NÃO PAGA]],'[1]POS_VIVO_0112 a 3101_CAMP. REG)'!$F$115:$Q$222,12,FALSE)</f>
        <v>142.83000000000001</v>
      </c>
      <c r="AR55" s="68">
        <f>UNAMA.[[#This Row],[Nº Parcelas]]</f>
        <v>19</v>
      </c>
      <c r="AS55" s="68">
        <f>UNAMA.[[#This Row],[Nº Parcelas normal2]]-1</f>
        <v>18</v>
      </c>
      <c r="AT55" s="71">
        <f>UNAMA.[[#This Row],[$ NORMAL]]</f>
        <v>352.66770900000006</v>
      </c>
      <c r="AU55" s="162">
        <f>UNAMA.[[#This Row],[%  SITE]]</f>
        <v>0.5</v>
      </c>
      <c r="AV55" s="161">
        <f>UNAMA.[[#This Row],[$ SITE]]</f>
        <v>158.69999999999999</v>
      </c>
      <c r="AW55" s="162">
        <f>UNAMA.[[#This Row],[%  SGP]]</f>
        <v>0.55000000000000004</v>
      </c>
      <c r="AX55" s="161">
        <f>UNAMA.[[#This Row],[$ SGP]]</f>
        <v>142.83000000000001</v>
      </c>
      <c r="AY55" s="69" t="s">
        <v>351</v>
      </c>
      <c r="AZ55" s="69" t="s">
        <v>372</v>
      </c>
      <c r="BB55" s="121" t="s">
        <v>303</v>
      </c>
      <c r="BC55" s="69" t="s">
        <v>19</v>
      </c>
      <c r="BD55" s="68" t="str">
        <f>VLOOKUP(UNG.[[#This Row],[CURSO]],'[1]POS_VIVO_0112 a 3101_CAMP. REG)'!$F$224:$G$331,2,FALSE)</f>
        <v>Gestão</v>
      </c>
      <c r="BE55" s="70">
        <f>VLOOKUP(UNG.[[#This Row],[CURSO]],'[1]POS_VIVO_0112 a 3101_CAMP. REG)'!$F$224:$H$331,3,FALSE)</f>
        <v>15</v>
      </c>
      <c r="BF55" s="70">
        <f>VLOOKUP(UNG.[[#This Row],[CURSO]],'[1]POS_VIVO_0112 a 3101_CAMP. REG)'!$F$224:$I$331,4,FALSE)</f>
        <v>19</v>
      </c>
      <c r="BG55" s="73">
        <f>VLOOKUP(UNG.[[#This Row],[CURSO]],'[1]POS_VIVO_0112 a 3101_CAMP. REG)'!$F$224:$J$331,5,FALSE)</f>
        <v>320.59937400000007</v>
      </c>
      <c r="BH55" s="72">
        <f>VLOOKUP(UNG.[[#This Row],[CURSO]],'[1]POS_VIVO_0112 a 3101_CAMP. REG)'!$F$224:$L$331,7,FALSE)</f>
        <v>0.5</v>
      </c>
      <c r="BI55" s="73">
        <f>VLOOKUP(UNG.[[#This Row],[CURSO]],'[1]POS_VIVO_0112 a 3101_CAMP. REG)'!$F$224:$M$331,8,FALSE)</f>
        <v>144.27000000000001</v>
      </c>
      <c r="BJ55" s="72">
        <f>VLOOKUP(UNG.[[#This Row],[CURSO]],'[1]POS_VIVO_0112 a 3101_CAMP. REG)'!$F$224:$P$331,11,FALSE)</f>
        <v>0.55000000000000004</v>
      </c>
      <c r="BK55" s="73">
        <f>VLOOKUP(UNG.[[#This Row],[CURSO]],'[1]POS_VIVO_0112 a 3101_CAMP. REG)'!$F$224:$Q$331,12,FALSE)</f>
        <v>129.84</v>
      </c>
      <c r="BL55" s="75">
        <f>UNG.[[#This Row],[Nº Parcelas]]</f>
        <v>19</v>
      </c>
      <c r="BM55" s="75">
        <f>UNG.[[#This Row],[Nº Parcelas normal2]]-1</f>
        <v>18</v>
      </c>
      <c r="BN55" s="73">
        <f>UNG.[[#This Row],[$ NORMAL]]</f>
        <v>320.59937400000007</v>
      </c>
      <c r="BO55" s="72">
        <f>UNG.[[#This Row],[%  SITE]]</f>
        <v>0.5</v>
      </c>
      <c r="BP55" s="73">
        <f>UNG.[[#This Row],[$ SITE]]</f>
        <v>144.27000000000001</v>
      </c>
      <c r="BQ55" s="72">
        <f>UNG.[[#This Row],[%  SGP]]</f>
        <v>0.55000000000000004</v>
      </c>
      <c r="BR55" s="73">
        <f>UNG.[[#This Row],[$ SGP]]</f>
        <v>129.84</v>
      </c>
      <c r="BS55" s="69" t="s">
        <v>351</v>
      </c>
      <c r="BT55" s="69" t="s">
        <v>372</v>
      </c>
      <c r="BV55" s="121" t="s">
        <v>303</v>
      </c>
      <c r="BW55" s="69" t="s">
        <v>19</v>
      </c>
      <c r="BX55" s="69" t="str">
        <f>VLOOKUP(UNINASSAU.[[#This Row],[CURSO]],'[1]POS_VIVO_0112 a 3101_CAMP. REG)'!$F$333:$G$447,2,FALSE)</f>
        <v>Gestão</v>
      </c>
      <c r="BY55" s="68">
        <f>VLOOKUP(UNINASSAU.[[#This Row],[CURSO]],'[1]POS_VIVO_0112 a 3101_CAMP. REG)'!$F$333:$H$447,3,FALSE)</f>
        <v>15</v>
      </c>
      <c r="BZ55" s="68">
        <f>VLOOKUP(UNINASSAU.[[#This Row],[CURSO]],'[1]POS_VIVO_0112 a 3101_CAMP. REG)'!$F$333:$I$447,4,FALSE)</f>
        <v>19</v>
      </c>
      <c r="CA55" s="73">
        <f>VLOOKUP(UNINASSAU.[[#This Row],[CURSO]],'[1]POS_VIVO_0112 a 3101_CAMP. REG)'!$F$333:$J$447,5,FALSE)</f>
        <v>320.59937400000007</v>
      </c>
      <c r="CB55" s="72">
        <f>VLOOKUP(UNINASSAU.[[#This Row],[CURSO]],'[1]POS_VIVO_0112 a 3101_CAMP. REG)'!$F$333:$L$447,7,FALSE)</f>
        <v>0.5</v>
      </c>
      <c r="CC55" s="73">
        <f>VLOOKUP(UNINASSAU.[[#This Row],[CURSO]],'[1]POS_VIVO_0112 a 3101_CAMP. REG)'!$F$333:$M$447,8,FALSE)</f>
        <v>144.27000000000001</v>
      </c>
      <c r="CD55" s="72">
        <f>VLOOKUP(UNINASSAU.[[#This Row],[CURSO]],'[1]POS_VIVO_0112 a 3101_CAMP. REG)'!$F$333:$P$447,11,FALSE)</f>
        <v>0.55000000000000004</v>
      </c>
      <c r="CE55" s="73">
        <f>VLOOKUP(UNINASSAU.[[#This Row],[CURSO]],'[1]POS_VIVO_0112 a 3101_CAMP. REG)'!$F$333:$Q$447,12,FALSE)</f>
        <v>129.84</v>
      </c>
      <c r="CF55" s="75">
        <f>UNINASSAU.[[#This Row],[Nº Parcelas]]</f>
        <v>19</v>
      </c>
      <c r="CG55" s="75">
        <f>UNINASSAU.[[#This Row],[Nº Parcelas normal2]]-1</f>
        <v>18</v>
      </c>
      <c r="CH55" s="73">
        <f>UNINASSAU.[[#This Row],[$ NORMAL]]</f>
        <v>320.59937400000007</v>
      </c>
      <c r="CI55" s="72">
        <f>UNINASSAU.[[#This Row],[%  SITE]]</f>
        <v>0.5</v>
      </c>
      <c r="CJ55" s="73">
        <f>UNINASSAU.[[#This Row],[$ SITE]]</f>
        <v>144.27000000000001</v>
      </c>
      <c r="CK55" s="72">
        <f>UNINASSAU.[[#This Row],[%  SGP]]</f>
        <v>0.55000000000000004</v>
      </c>
      <c r="CL55" s="73">
        <f>UNINASSAU.[[#This Row],[$ SGP]]</f>
        <v>129.84</v>
      </c>
      <c r="CM55" s="69" t="s">
        <v>351</v>
      </c>
      <c r="CN55" s="69" t="s">
        <v>372</v>
      </c>
      <c r="CP55" s="104">
        <v>52</v>
      </c>
      <c r="CQ55" s="121" t="s">
        <v>314</v>
      </c>
    </row>
    <row r="56" spans="14:95" ht="16.5" customHeight="1" x14ac:dyDescent="0.25">
      <c r="N56" s="121" t="s">
        <v>304</v>
      </c>
      <c r="O56" s="69" t="s">
        <v>19</v>
      </c>
      <c r="P56" s="69" t="str">
        <f>VLOOKUP(UNIFAEL.[[#This Row],[CURSO]],'[1]POS_VIVO_0112 a 3101_CAMP. REG)'!$F$5:$G$113,2,FALSE)</f>
        <v>Gestão</v>
      </c>
      <c r="Q56" s="68">
        <f>VLOOKUP(UNIFAEL.[[#This Row],[CURSO]],'[1]POS_VIVO_0112 a 3101_CAMP. REG)'!$F$5:$H$113,3,FALSE)</f>
        <v>15</v>
      </c>
      <c r="R56" s="68">
        <f>VLOOKUP(UNIFAEL.[[#This Row],[CURSO]],'[1]POS_VIVO_0112 a 3101_CAMP. REG)'!$F$5:$I$113,4,FALSE)</f>
        <v>19</v>
      </c>
      <c r="S56" s="73">
        <f>VLOOKUP(UNIFAEL.[[#This Row],[CURSO]],'[1]POS_VIVO_0112 a 3101_CAMP. REG)'!$F$5:$J$113,5,FALSE)</f>
        <v>320.59937400000007</v>
      </c>
      <c r="T56" s="124">
        <f>VLOOKUP(UNIFAEL.[[#This Row],[CURSO]],'[1]POS_VIVO_0112 a 3101_CAMP. REG)'!$F$5:$L$113,7,FALSE)</f>
        <v>0.4</v>
      </c>
      <c r="U56" s="71">
        <f>VLOOKUP(UNIFAEL.[[#This Row],[CURSO]],'[1]POS_VIVO_0112 a 3101_CAMP. REG)'!$F$5:$M$113,8,FALSE)</f>
        <v>173.12</v>
      </c>
      <c r="V56" s="72">
        <f>VLOOKUP(UNIFAEL.[[#This Row],[CURSO]],'[1]POS_VIVO_0112 a 3101_CAMP. REG)'!$F$5:$P$113,11,FALSE)</f>
        <v>0.45</v>
      </c>
      <c r="W56" s="73">
        <f>VLOOKUP(UNIFAEL.[[#This Row],[CURSO]],'[1]POS_VIVO_0112 a 3101_CAMP. REG)'!$F$5:$Q$113,12,FALSE)</f>
        <v>158.69999999999999</v>
      </c>
      <c r="X56" s="75">
        <f>UNIFAEL.[[#This Row],[Nº Parcelas]]</f>
        <v>19</v>
      </c>
      <c r="Y56" s="75">
        <f>UNIFAEL.[[#This Row],[Nº Parcelas normal2]]-1</f>
        <v>18</v>
      </c>
      <c r="Z56" s="73">
        <f>UNIFAEL.[[#This Row],[$ NORMAL]]</f>
        <v>320.59937400000007</v>
      </c>
      <c r="AA56" s="72">
        <f>UNIFAEL.[[#This Row],[%  SITE]]</f>
        <v>0.4</v>
      </c>
      <c r="AB56" s="73">
        <f>UNIFAEL.[[#This Row],[$ SITE]]</f>
        <v>173.12</v>
      </c>
      <c r="AC56" s="72">
        <f>UNIFAEL.[[#This Row],[%  SGP]]</f>
        <v>0.45</v>
      </c>
      <c r="AD56" s="73">
        <f>UNIFAEL.[[#This Row],[$ SGP]]</f>
        <v>158.69999999999999</v>
      </c>
      <c r="AE56" s="69" t="s">
        <v>371</v>
      </c>
      <c r="AF56" s="69" t="s">
        <v>372</v>
      </c>
      <c r="AH56" s="121" t="s">
        <v>304</v>
      </c>
      <c r="AI56" s="69" t="s">
        <v>19</v>
      </c>
      <c r="AJ56" s="69" t="str">
        <f>VLOOKUP(UNAMA.[[#This Row],[PARCELA MATRICULA NÃO PAGA]],'[1]POS_VIVO_0112 a 3101_CAMP. REG)'!$F$115:$G$222,2,FALSE)</f>
        <v>Gestão</v>
      </c>
      <c r="AK56" s="69">
        <f>VLOOKUP(UNAMA.[[#This Row],[PARCELA MATRICULA NÃO PAGA]],'[1]POS_VIVO_0112 a 3101_CAMP. REG)'!$F$115:$H$222,3,FALSE)</f>
        <v>15</v>
      </c>
      <c r="AL56" s="69">
        <f>VLOOKUP(UNAMA.[[#This Row],[PARCELA MATRICULA NÃO PAGA]],'[1]POS_VIVO_0112 a 3101_CAMP. REG)'!$F$115:$I$222,4,FALSE)</f>
        <v>19</v>
      </c>
      <c r="AM56" s="71">
        <f>VLOOKUP(UNAMA.[[#This Row],[PARCELA MATRICULA NÃO PAGA]],'[1]POS_VIVO_0112 a 3101_CAMP. REG)'!$F$115:$J$222,5,FALSE)</f>
        <v>352.66770900000006</v>
      </c>
      <c r="AN56" s="123">
        <f>VLOOKUP(UNAMA.[[#This Row],[PARCELA MATRICULA NÃO PAGA]],'[1]POS_VIVO_0112 a 3101_CAMP. REG)'!$F$115:$L$222,7,FALSE)</f>
        <v>0.4</v>
      </c>
      <c r="AO56" s="73">
        <f>VLOOKUP(UNAMA.[[#This Row],[PARCELA MATRICULA NÃO PAGA]],'[1]POS_VIVO_0112 a 3101_CAMP. REG)'!$F$115:$M$222,8,FALSE)</f>
        <v>190.44</v>
      </c>
      <c r="AP56" s="72">
        <f>VLOOKUP(UNAMA.[[#This Row],[PARCELA MATRICULA NÃO PAGA]],'[1]POS_VIVO_0112 a 3101_CAMP. REG)'!$F$115:$P$222,11,FALSE)</f>
        <v>0.45</v>
      </c>
      <c r="AQ56" s="73">
        <f>VLOOKUP(UNAMA.[[#This Row],[PARCELA MATRICULA NÃO PAGA]],'[1]POS_VIVO_0112 a 3101_CAMP. REG)'!$F$115:$Q$222,12,FALSE)</f>
        <v>174.57</v>
      </c>
      <c r="AR56" s="68">
        <f>UNAMA.[[#This Row],[Nº Parcelas]]</f>
        <v>19</v>
      </c>
      <c r="AS56" s="68">
        <f>UNAMA.[[#This Row],[Nº Parcelas normal2]]-1</f>
        <v>18</v>
      </c>
      <c r="AT56" s="71">
        <f>UNAMA.[[#This Row],[$ NORMAL]]</f>
        <v>352.66770900000006</v>
      </c>
      <c r="AU56" s="162">
        <f>UNAMA.[[#This Row],[%  SITE]]</f>
        <v>0.4</v>
      </c>
      <c r="AV56" s="161">
        <f>UNAMA.[[#This Row],[$ SITE]]</f>
        <v>190.44</v>
      </c>
      <c r="AW56" s="162">
        <f>UNAMA.[[#This Row],[%  SGP]]</f>
        <v>0.45</v>
      </c>
      <c r="AX56" s="161">
        <f>UNAMA.[[#This Row],[$ SGP]]</f>
        <v>174.57</v>
      </c>
      <c r="AY56" s="69" t="s">
        <v>351</v>
      </c>
      <c r="AZ56" s="69" t="s">
        <v>372</v>
      </c>
      <c r="BB56" s="121" t="s">
        <v>304</v>
      </c>
      <c r="BC56" s="69" t="s">
        <v>19</v>
      </c>
      <c r="BD56" s="68" t="str">
        <f>VLOOKUP(UNG.[[#This Row],[CURSO]],'[1]POS_VIVO_0112 a 3101_CAMP. REG)'!$F$224:$G$331,2,FALSE)</f>
        <v>Gestão</v>
      </c>
      <c r="BE56" s="70">
        <f>VLOOKUP(UNG.[[#This Row],[CURSO]],'[1]POS_VIVO_0112 a 3101_CAMP. REG)'!$F$224:$H$331,3,FALSE)</f>
        <v>15</v>
      </c>
      <c r="BF56" s="70">
        <f>VLOOKUP(UNG.[[#This Row],[CURSO]],'[1]POS_VIVO_0112 a 3101_CAMP. REG)'!$F$224:$I$331,4,FALSE)</f>
        <v>19</v>
      </c>
      <c r="BG56" s="73">
        <f>VLOOKUP(UNG.[[#This Row],[CURSO]],'[1]POS_VIVO_0112 a 3101_CAMP. REG)'!$F$224:$J$331,5,FALSE)</f>
        <v>320.59937400000007</v>
      </c>
      <c r="BH56" s="72">
        <f>VLOOKUP(UNG.[[#This Row],[CURSO]],'[1]POS_VIVO_0112 a 3101_CAMP. REG)'!$F$224:$L$331,7,FALSE)</f>
        <v>0.4</v>
      </c>
      <c r="BI56" s="73">
        <f>VLOOKUP(UNG.[[#This Row],[CURSO]],'[1]POS_VIVO_0112 a 3101_CAMP. REG)'!$F$224:$M$331,8,FALSE)</f>
        <v>173.12</v>
      </c>
      <c r="BJ56" s="72">
        <f>VLOOKUP(UNG.[[#This Row],[CURSO]],'[1]POS_VIVO_0112 a 3101_CAMP. REG)'!$F$224:$P$331,11,FALSE)</f>
        <v>0.45</v>
      </c>
      <c r="BK56" s="73">
        <f>VLOOKUP(UNG.[[#This Row],[CURSO]],'[1]POS_VIVO_0112 a 3101_CAMP. REG)'!$F$224:$Q$331,12,FALSE)</f>
        <v>158.69999999999999</v>
      </c>
      <c r="BL56" s="75">
        <f>UNG.[[#This Row],[Nº Parcelas]]</f>
        <v>19</v>
      </c>
      <c r="BM56" s="75">
        <f>UNG.[[#This Row],[Nº Parcelas normal2]]-1</f>
        <v>18</v>
      </c>
      <c r="BN56" s="73">
        <f>UNG.[[#This Row],[$ NORMAL]]</f>
        <v>320.59937400000007</v>
      </c>
      <c r="BO56" s="72">
        <f>UNG.[[#This Row],[%  SITE]]</f>
        <v>0.4</v>
      </c>
      <c r="BP56" s="73">
        <f>UNG.[[#This Row],[$ SITE]]</f>
        <v>173.12</v>
      </c>
      <c r="BQ56" s="72">
        <f>UNG.[[#This Row],[%  SGP]]</f>
        <v>0.45</v>
      </c>
      <c r="BR56" s="73">
        <f>UNG.[[#This Row],[$ SGP]]</f>
        <v>158.69999999999999</v>
      </c>
      <c r="BS56" s="69" t="s">
        <v>351</v>
      </c>
      <c r="BT56" s="69" t="s">
        <v>372</v>
      </c>
      <c r="BV56" s="121" t="s">
        <v>304</v>
      </c>
      <c r="BW56" s="69" t="s">
        <v>19</v>
      </c>
      <c r="BX56" s="69" t="str">
        <f>VLOOKUP(UNINASSAU.[[#This Row],[CURSO]],'[1]POS_VIVO_0112 a 3101_CAMP. REG)'!$F$333:$G$447,2,FALSE)</f>
        <v>Gestão</v>
      </c>
      <c r="BY56" s="68">
        <f>VLOOKUP(UNINASSAU.[[#This Row],[CURSO]],'[1]POS_VIVO_0112 a 3101_CAMP. REG)'!$F$333:$H$447,3,FALSE)</f>
        <v>15</v>
      </c>
      <c r="BZ56" s="68">
        <f>VLOOKUP(UNINASSAU.[[#This Row],[CURSO]],'[1]POS_VIVO_0112 a 3101_CAMP. REG)'!$F$333:$I$447,4,FALSE)</f>
        <v>19</v>
      </c>
      <c r="CA56" s="73">
        <f>VLOOKUP(UNINASSAU.[[#This Row],[CURSO]],'[1]POS_VIVO_0112 a 3101_CAMP. REG)'!$F$333:$J$447,5,FALSE)</f>
        <v>320.59937400000007</v>
      </c>
      <c r="CB56" s="72">
        <f>VLOOKUP(UNINASSAU.[[#This Row],[CURSO]],'[1]POS_VIVO_0112 a 3101_CAMP. REG)'!$F$333:$L$447,7,FALSE)</f>
        <v>0.4</v>
      </c>
      <c r="CC56" s="73">
        <f>VLOOKUP(UNINASSAU.[[#This Row],[CURSO]],'[1]POS_VIVO_0112 a 3101_CAMP. REG)'!$F$333:$M$447,8,FALSE)</f>
        <v>173.12</v>
      </c>
      <c r="CD56" s="72">
        <f>VLOOKUP(UNINASSAU.[[#This Row],[CURSO]],'[1]POS_VIVO_0112 a 3101_CAMP. REG)'!$F$333:$P$447,11,FALSE)</f>
        <v>0.45</v>
      </c>
      <c r="CE56" s="73">
        <f>VLOOKUP(UNINASSAU.[[#This Row],[CURSO]],'[1]POS_VIVO_0112 a 3101_CAMP. REG)'!$F$333:$Q$447,12,FALSE)</f>
        <v>158.69999999999999</v>
      </c>
      <c r="CF56" s="75">
        <f>UNINASSAU.[[#This Row],[Nº Parcelas]]</f>
        <v>19</v>
      </c>
      <c r="CG56" s="75">
        <f>UNINASSAU.[[#This Row],[Nº Parcelas normal2]]-1</f>
        <v>18</v>
      </c>
      <c r="CH56" s="73">
        <f>UNINASSAU.[[#This Row],[$ NORMAL]]</f>
        <v>320.59937400000007</v>
      </c>
      <c r="CI56" s="72">
        <f>UNINASSAU.[[#This Row],[%  SITE]]</f>
        <v>0.4</v>
      </c>
      <c r="CJ56" s="73">
        <f>UNINASSAU.[[#This Row],[$ SITE]]</f>
        <v>173.12</v>
      </c>
      <c r="CK56" s="72">
        <f>UNINASSAU.[[#This Row],[%  SGP]]</f>
        <v>0.45</v>
      </c>
      <c r="CL56" s="73">
        <f>UNINASSAU.[[#This Row],[$ SGP]]</f>
        <v>158.69999999999999</v>
      </c>
      <c r="CM56" s="69" t="s">
        <v>351</v>
      </c>
      <c r="CN56" s="69" t="s">
        <v>372</v>
      </c>
      <c r="CP56" s="104">
        <v>53</v>
      </c>
      <c r="CQ56" s="121" t="s">
        <v>315</v>
      </c>
    </row>
    <row r="57" spans="14:95" ht="16.5" customHeight="1" x14ac:dyDescent="0.25">
      <c r="N57" s="121" t="s">
        <v>286</v>
      </c>
      <c r="O57" s="69" t="s">
        <v>19</v>
      </c>
      <c r="P57" s="69" t="str">
        <f>VLOOKUP(UNIFAEL.[[#This Row],[CURSO]],'[1]POS_VIVO_0112 a 3101_CAMP. REG)'!$F$5:$G$113,2,FALSE)</f>
        <v>Gestão</v>
      </c>
      <c r="Q57" s="68">
        <f>VLOOKUP(UNIFAEL.[[#This Row],[CURSO]],'[1]POS_VIVO_0112 a 3101_CAMP. REG)'!$F$5:$H$113,3,FALSE)</f>
        <v>15</v>
      </c>
      <c r="R57" s="68">
        <f>VLOOKUP(UNIFAEL.[[#This Row],[CURSO]],'[1]POS_VIVO_0112 a 3101_CAMP. REG)'!$F$5:$I$113,4,FALSE)</f>
        <v>19</v>
      </c>
      <c r="S57" s="73">
        <f>VLOOKUP(UNIFAEL.[[#This Row],[CURSO]],'[1]POS_VIVO_0112 a 3101_CAMP. REG)'!$F$5:$J$113,5,FALSE)</f>
        <v>320.59937400000007</v>
      </c>
      <c r="T57" s="124">
        <f>VLOOKUP(UNIFAEL.[[#This Row],[CURSO]],'[1]POS_VIVO_0112 a 3101_CAMP. REG)'!$F$5:$L$113,7,FALSE)</f>
        <v>0.3</v>
      </c>
      <c r="U57" s="71">
        <f>VLOOKUP(UNIFAEL.[[#This Row],[CURSO]],'[1]POS_VIVO_0112 a 3101_CAMP. REG)'!$F$5:$M$113,8,FALSE)</f>
        <v>201.98</v>
      </c>
      <c r="V57" s="72">
        <f>VLOOKUP(UNIFAEL.[[#This Row],[CURSO]],'[1]POS_VIVO_0112 a 3101_CAMP. REG)'!$F$5:$P$113,11,FALSE)</f>
        <v>0.35</v>
      </c>
      <c r="W57" s="73">
        <f>VLOOKUP(UNIFAEL.[[#This Row],[CURSO]],'[1]POS_VIVO_0112 a 3101_CAMP. REG)'!$F$5:$Q$113,12,FALSE)</f>
        <v>187.55</v>
      </c>
      <c r="X57" s="75">
        <f>UNIFAEL.[[#This Row],[Nº Parcelas]]</f>
        <v>19</v>
      </c>
      <c r="Y57" s="75">
        <f>UNIFAEL.[[#This Row],[Nº Parcelas normal2]]-1</f>
        <v>18</v>
      </c>
      <c r="Z57" s="73">
        <f>UNIFAEL.[[#This Row],[$ NORMAL]]</f>
        <v>320.59937400000007</v>
      </c>
      <c r="AA57" s="72">
        <f>UNIFAEL.[[#This Row],[%  SITE]]</f>
        <v>0.3</v>
      </c>
      <c r="AB57" s="73">
        <f>UNIFAEL.[[#This Row],[$ SITE]]</f>
        <v>201.98</v>
      </c>
      <c r="AC57" s="72">
        <f>UNIFAEL.[[#This Row],[%  SGP]]</f>
        <v>0.35</v>
      </c>
      <c r="AD57" s="73">
        <f>UNIFAEL.[[#This Row],[$ SGP]]</f>
        <v>187.55</v>
      </c>
      <c r="AE57" s="69" t="s">
        <v>371</v>
      </c>
      <c r="AF57" s="69" t="s">
        <v>372</v>
      </c>
      <c r="AH57" s="121" t="s">
        <v>286</v>
      </c>
      <c r="AI57" s="69" t="s">
        <v>19</v>
      </c>
      <c r="AJ57" s="69" t="str">
        <f>VLOOKUP(UNAMA.[[#This Row],[PARCELA MATRICULA NÃO PAGA]],'[1]POS_VIVO_0112 a 3101_CAMP. REG)'!$F$115:$G$222,2,FALSE)</f>
        <v>Gestão</v>
      </c>
      <c r="AK57" s="69">
        <f>VLOOKUP(UNAMA.[[#This Row],[PARCELA MATRICULA NÃO PAGA]],'[1]POS_VIVO_0112 a 3101_CAMP. REG)'!$F$115:$H$222,3,FALSE)</f>
        <v>15</v>
      </c>
      <c r="AL57" s="69">
        <f>VLOOKUP(UNAMA.[[#This Row],[PARCELA MATRICULA NÃO PAGA]],'[1]POS_VIVO_0112 a 3101_CAMP. REG)'!$F$115:$I$222,4,FALSE)</f>
        <v>19</v>
      </c>
      <c r="AM57" s="71">
        <f>VLOOKUP(UNAMA.[[#This Row],[PARCELA MATRICULA NÃO PAGA]],'[1]POS_VIVO_0112 a 3101_CAMP. REG)'!$F$115:$J$222,5,FALSE)</f>
        <v>352.66770900000006</v>
      </c>
      <c r="AN57" s="123">
        <f>VLOOKUP(UNAMA.[[#This Row],[PARCELA MATRICULA NÃO PAGA]],'[1]POS_VIVO_0112 a 3101_CAMP. REG)'!$F$115:$L$222,7,FALSE)</f>
        <v>0.3</v>
      </c>
      <c r="AO57" s="73">
        <f>VLOOKUP(UNAMA.[[#This Row],[PARCELA MATRICULA NÃO PAGA]],'[1]POS_VIVO_0112 a 3101_CAMP. REG)'!$F$115:$M$222,8,FALSE)</f>
        <v>222.18</v>
      </c>
      <c r="AP57" s="72">
        <f>VLOOKUP(UNAMA.[[#This Row],[PARCELA MATRICULA NÃO PAGA]],'[1]POS_VIVO_0112 a 3101_CAMP. REG)'!$F$115:$P$222,11,FALSE)</f>
        <v>0.35</v>
      </c>
      <c r="AQ57" s="73">
        <f>VLOOKUP(UNAMA.[[#This Row],[PARCELA MATRICULA NÃO PAGA]],'[1]POS_VIVO_0112 a 3101_CAMP. REG)'!$F$115:$Q$222,12,FALSE)</f>
        <v>206.31</v>
      </c>
      <c r="AR57" s="68">
        <f>UNAMA.[[#This Row],[Nº Parcelas]]</f>
        <v>19</v>
      </c>
      <c r="AS57" s="68">
        <f>UNAMA.[[#This Row],[Nº Parcelas normal2]]-1</f>
        <v>18</v>
      </c>
      <c r="AT57" s="71">
        <f>UNAMA.[[#This Row],[$ NORMAL]]</f>
        <v>352.66770900000006</v>
      </c>
      <c r="AU57" s="162">
        <f>UNAMA.[[#This Row],[%  SITE]]</f>
        <v>0.3</v>
      </c>
      <c r="AV57" s="161">
        <f>UNAMA.[[#This Row],[$ SITE]]</f>
        <v>222.18</v>
      </c>
      <c r="AW57" s="162">
        <f>UNAMA.[[#This Row],[%  SGP]]</f>
        <v>0.35</v>
      </c>
      <c r="AX57" s="161">
        <f>UNAMA.[[#This Row],[$ SGP]]</f>
        <v>206.31</v>
      </c>
      <c r="AY57" s="69" t="s">
        <v>351</v>
      </c>
      <c r="AZ57" s="69" t="s">
        <v>372</v>
      </c>
      <c r="BB57" s="121" t="s">
        <v>286</v>
      </c>
      <c r="BC57" s="69" t="s">
        <v>19</v>
      </c>
      <c r="BD57" s="68" t="str">
        <f>VLOOKUP(UNG.[[#This Row],[CURSO]],'[1]POS_VIVO_0112 a 3101_CAMP. REG)'!$F$224:$G$331,2,FALSE)</f>
        <v>Gestão</v>
      </c>
      <c r="BE57" s="70">
        <f>VLOOKUP(UNG.[[#This Row],[CURSO]],'[1]POS_VIVO_0112 a 3101_CAMP. REG)'!$F$224:$H$331,3,FALSE)</f>
        <v>15</v>
      </c>
      <c r="BF57" s="70">
        <f>VLOOKUP(UNG.[[#This Row],[CURSO]],'[1]POS_VIVO_0112 a 3101_CAMP. REG)'!$F$224:$I$331,4,FALSE)</f>
        <v>19</v>
      </c>
      <c r="BG57" s="73">
        <f>VLOOKUP(UNG.[[#This Row],[CURSO]],'[1]POS_VIVO_0112 a 3101_CAMP. REG)'!$F$224:$J$331,5,FALSE)</f>
        <v>320.59937400000007</v>
      </c>
      <c r="BH57" s="72">
        <f>VLOOKUP(UNG.[[#This Row],[CURSO]],'[1]POS_VIVO_0112 a 3101_CAMP. REG)'!$F$224:$L$331,7,FALSE)</f>
        <v>0.3</v>
      </c>
      <c r="BI57" s="73">
        <f>VLOOKUP(UNG.[[#This Row],[CURSO]],'[1]POS_VIVO_0112 a 3101_CAMP. REG)'!$F$224:$M$331,8,FALSE)</f>
        <v>201.98</v>
      </c>
      <c r="BJ57" s="72">
        <f>VLOOKUP(UNG.[[#This Row],[CURSO]],'[1]POS_VIVO_0112 a 3101_CAMP. REG)'!$F$224:$P$331,11,FALSE)</f>
        <v>0.35</v>
      </c>
      <c r="BK57" s="73">
        <f>VLOOKUP(UNG.[[#This Row],[CURSO]],'[1]POS_VIVO_0112 a 3101_CAMP. REG)'!$F$224:$Q$331,12,FALSE)</f>
        <v>187.55</v>
      </c>
      <c r="BL57" s="75">
        <f>UNG.[[#This Row],[Nº Parcelas]]</f>
        <v>19</v>
      </c>
      <c r="BM57" s="75">
        <f>UNG.[[#This Row],[Nº Parcelas normal2]]-1</f>
        <v>18</v>
      </c>
      <c r="BN57" s="73">
        <f>UNG.[[#This Row],[$ NORMAL]]</f>
        <v>320.59937400000007</v>
      </c>
      <c r="BO57" s="72">
        <f>UNG.[[#This Row],[%  SITE]]</f>
        <v>0.3</v>
      </c>
      <c r="BP57" s="73">
        <f>UNG.[[#This Row],[$ SITE]]</f>
        <v>201.98</v>
      </c>
      <c r="BQ57" s="72">
        <f>UNG.[[#This Row],[%  SGP]]</f>
        <v>0.35</v>
      </c>
      <c r="BR57" s="73">
        <f>UNG.[[#This Row],[$ SGP]]</f>
        <v>187.55</v>
      </c>
      <c r="BS57" s="69" t="s">
        <v>351</v>
      </c>
      <c r="BT57" s="69" t="s">
        <v>372</v>
      </c>
      <c r="BV57" s="121" t="s">
        <v>286</v>
      </c>
      <c r="BW57" s="69" t="s">
        <v>19</v>
      </c>
      <c r="BX57" s="69" t="str">
        <f>VLOOKUP(UNINASSAU.[[#This Row],[CURSO]],'[1]POS_VIVO_0112 a 3101_CAMP. REG)'!$F$333:$G$447,2,FALSE)</f>
        <v>Gestão</v>
      </c>
      <c r="BY57" s="68">
        <f>VLOOKUP(UNINASSAU.[[#This Row],[CURSO]],'[1]POS_VIVO_0112 a 3101_CAMP. REG)'!$F$333:$H$447,3,FALSE)</f>
        <v>15</v>
      </c>
      <c r="BZ57" s="68">
        <f>VLOOKUP(UNINASSAU.[[#This Row],[CURSO]],'[1]POS_VIVO_0112 a 3101_CAMP. REG)'!$F$333:$I$447,4,FALSE)</f>
        <v>19</v>
      </c>
      <c r="CA57" s="73">
        <f>VLOOKUP(UNINASSAU.[[#This Row],[CURSO]],'[1]POS_VIVO_0112 a 3101_CAMP. REG)'!$F$333:$J$447,5,FALSE)</f>
        <v>320.59937400000007</v>
      </c>
      <c r="CB57" s="72">
        <f>VLOOKUP(UNINASSAU.[[#This Row],[CURSO]],'[1]POS_VIVO_0112 a 3101_CAMP. REG)'!$F$333:$L$447,7,FALSE)</f>
        <v>0.3</v>
      </c>
      <c r="CC57" s="73">
        <f>VLOOKUP(UNINASSAU.[[#This Row],[CURSO]],'[1]POS_VIVO_0112 a 3101_CAMP. REG)'!$F$333:$M$447,8,FALSE)</f>
        <v>201.98</v>
      </c>
      <c r="CD57" s="72">
        <f>VLOOKUP(UNINASSAU.[[#This Row],[CURSO]],'[1]POS_VIVO_0112 a 3101_CAMP. REG)'!$F$333:$P$447,11,FALSE)</f>
        <v>0.35</v>
      </c>
      <c r="CE57" s="73">
        <f>VLOOKUP(UNINASSAU.[[#This Row],[CURSO]],'[1]POS_VIVO_0112 a 3101_CAMP. REG)'!$F$333:$Q$447,12,FALSE)</f>
        <v>187.55</v>
      </c>
      <c r="CF57" s="75">
        <f>UNINASSAU.[[#This Row],[Nº Parcelas]]</f>
        <v>19</v>
      </c>
      <c r="CG57" s="75">
        <f>UNINASSAU.[[#This Row],[Nº Parcelas normal2]]-1</f>
        <v>18</v>
      </c>
      <c r="CH57" s="73">
        <f>UNINASSAU.[[#This Row],[$ NORMAL]]</f>
        <v>320.59937400000007</v>
      </c>
      <c r="CI57" s="72">
        <f>UNINASSAU.[[#This Row],[%  SITE]]</f>
        <v>0.3</v>
      </c>
      <c r="CJ57" s="73">
        <f>UNINASSAU.[[#This Row],[$ SITE]]</f>
        <v>201.98</v>
      </c>
      <c r="CK57" s="72">
        <f>UNINASSAU.[[#This Row],[%  SGP]]</f>
        <v>0.35</v>
      </c>
      <c r="CL57" s="73">
        <f>UNINASSAU.[[#This Row],[$ SGP]]</f>
        <v>187.55</v>
      </c>
      <c r="CM57" s="69" t="s">
        <v>351</v>
      </c>
      <c r="CN57" s="69" t="s">
        <v>372</v>
      </c>
      <c r="CP57" s="104">
        <v>54</v>
      </c>
      <c r="CQ57" s="121" t="s">
        <v>316</v>
      </c>
    </row>
    <row r="58" spans="14:95" ht="16.5" customHeight="1" x14ac:dyDescent="0.25">
      <c r="N58" s="121" t="s">
        <v>270</v>
      </c>
      <c r="O58" s="69" t="s">
        <v>19</v>
      </c>
      <c r="P58" s="69" t="str">
        <f>VLOOKUP(UNIFAEL.[[#This Row],[CURSO]],'[1]POS_VIVO_0112 a 3101_CAMP. REG)'!$F$5:$G$113,2,FALSE)</f>
        <v>Direito</v>
      </c>
      <c r="Q58" s="68">
        <f>VLOOKUP(UNIFAEL.[[#This Row],[CURSO]],'[1]POS_VIVO_0112 a 3101_CAMP. REG)'!$F$5:$H$113,3,FALSE)</f>
        <v>12</v>
      </c>
      <c r="R58" s="68">
        <f>VLOOKUP(UNIFAEL.[[#This Row],[CURSO]],'[1]POS_VIVO_0112 a 3101_CAMP. REG)'!$F$5:$I$113,4,FALSE)</f>
        <v>19</v>
      </c>
      <c r="S58" s="73">
        <f>VLOOKUP(UNIFAEL.[[#This Row],[CURSO]],'[1]POS_VIVO_0112 a 3101_CAMP. REG)'!$F$5:$J$113,5,FALSE)</f>
        <v>262.27804200000003</v>
      </c>
      <c r="T58" s="124">
        <f>VLOOKUP(UNIFAEL.[[#This Row],[CURSO]],'[1]POS_VIVO_0112 a 3101_CAMP. REG)'!$F$5:$L$113,7,FALSE)</f>
        <v>0.5</v>
      </c>
      <c r="U58" s="71">
        <f>VLOOKUP(UNIFAEL.[[#This Row],[CURSO]],'[1]POS_VIVO_0112 a 3101_CAMP. REG)'!$F$5:$M$113,8,FALSE)</f>
        <v>118.03</v>
      </c>
      <c r="V58" s="72">
        <f>VLOOKUP(UNIFAEL.[[#This Row],[CURSO]],'[1]POS_VIVO_0112 a 3101_CAMP. REG)'!$F$5:$P$113,11,FALSE)</f>
        <v>0.55000000000000004</v>
      </c>
      <c r="W58" s="73">
        <f>VLOOKUP(UNIFAEL.[[#This Row],[CURSO]],'[1]POS_VIVO_0112 a 3101_CAMP. REG)'!$F$5:$Q$113,12,FALSE)</f>
        <v>106.22</v>
      </c>
      <c r="X58" s="75">
        <f>UNIFAEL.[[#This Row],[Nº Parcelas]]</f>
        <v>19</v>
      </c>
      <c r="Y58" s="75">
        <f>UNIFAEL.[[#This Row],[Nº Parcelas normal2]]-1</f>
        <v>18</v>
      </c>
      <c r="Z58" s="73">
        <f>UNIFAEL.[[#This Row],[$ NORMAL]]</f>
        <v>262.27804200000003</v>
      </c>
      <c r="AA58" s="72">
        <f>UNIFAEL.[[#This Row],[%  SITE]]</f>
        <v>0.5</v>
      </c>
      <c r="AB58" s="73">
        <f>UNIFAEL.[[#This Row],[$ SITE]]</f>
        <v>118.03</v>
      </c>
      <c r="AC58" s="72">
        <f>UNIFAEL.[[#This Row],[%  SGP]]</f>
        <v>0.55000000000000004</v>
      </c>
      <c r="AD58" s="73">
        <f>UNIFAEL.[[#This Row],[$ SGP]]</f>
        <v>106.22</v>
      </c>
      <c r="AE58" s="69" t="s">
        <v>371</v>
      </c>
      <c r="AF58" s="69" t="s">
        <v>372</v>
      </c>
      <c r="AH58" s="121" t="s">
        <v>270</v>
      </c>
      <c r="AI58" s="69" t="s">
        <v>19</v>
      </c>
      <c r="AJ58" s="69" t="str">
        <f>VLOOKUP(UNAMA.[[#This Row],[PARCELA MATRICULA NÃO PAGA]],'[1]POS_VIVO_0112 a 3101_CAMP. REG)'!$F$115:$G$222,2,FALSE)</f>
        <v>Direito</v>
      </c>
      <c r="AK58" s="69">
        <f>VLOOKUP(UNAMA.[[#This Row],[PARCELA MATRICULA NÃO PAGA]],'[1]POS_VIVO_0112 a 3101_CAMP. REG)'!$F$115:$H$222,3,FALSE)</f>
        <v>12</v>
      </c>
      <c r="AL58" s="69">
        <f>VLOOKUP(UNAMA.[[#This Row],[PARCELA MATRICULA NÃO PAGA]],'[1]POS_VIVO_0112 a 3101_CAMP. REG)'!$F$115:$I$222,4,FALSE)</f>
        <v>19</v>
      </c>
      <c r="AM58" s="71">
        <f>VLOOKUP(UNAMA.[[#This Row],[PARCELA MATRICULA NÃO PAGA]],'[1]POS_VIVO_0112 a 3101_CAMP. REG)'!$F$115:$J$222,5,FALSE)</f>
        <v>291.43870800000002</v>
      </c>
      <c r="AN58" s="123">
        <f>VLOOKUP(UNAMA.[[#This Row],[PARCELA MATRICULA NÃO PAGA]],'[1]POS_VIVO_0112 a 3101_CAMP. REG)'!$F$115:$L$222,7,FALSE)</f>
        <v>0.5</v>
      </c>
      <c r="AO58" s="73">
        <f>VLOOKUP(UNAMA.[[#This Row],[PARCELA MATRICULA NÃO PAGA]],'[1]POS_VIVO_0112 a 3101_CAMP. REG)'!$F$115:$M$222,8,FALSE)</f>
        <v>131.15</v>
      </c>
      <c r="AP58" s="72">
        <f>VLOOKUP(UNAMA.[[#This Row],[PARCELA MATRICULA NÃO PAGA]],'[1]POS_VIVO_0112 a 3101_CAMP. REG)'!$F$115:$P$222,11,FALSE)</f>
        <v>0.55000000000000004</v>
      </c>
      <c r="AQ58" s="73">
        <f>VLOOKUP(UNAMA.[[#This Row],[PARCELA MATRICULA NÃO PAGA]],'[1]POS_VIVO_0112 a 3101_CAMP. REG)'!$F$115:$Q$222,12,FALSE)</f>
        <v>118.03</v>
      </c>
      <c r="AR58" s="68">
        <f>UNAMA.[[#This Row],[Nº Parcelas]]</f>
        <v>19</v>
      </c>
      <c r="AS58" s="68">
        <f>UNAMA.[[#This Row],[Nº Parcelas normal2]]-1</f>
        <v>18</v>
      </c>
      <c r="AT58" s="71">
        <f>UNAMA.[[#This Row],[$ NORMAL]]</f>
        <v>291.43870800000002</v>
      </c>
      <c r="AU58" s="162">
        <f>UNAMA.[[#This Row],[%  SITE]]</f>
        <v>0.5</v>
      </c>
      <c r="AV58" s="161">
        <f>UNAMA.[[#This Row],[$ SITE]]</f>
        <v>131.15</v>
      </c>
      <c r="AW58" s="162">
        <f>UNAMA.[[#This Row],[%  SGP]]</f>
        <v>0.55000000000000004</v>
      </c>
      <c r="AX58" s="161">
        <f>UNAMA.[[#This Row],[$ SGP]]</f>
        <v>118.03</v>
      </c>
      <c r="AY58" s="69" t="s">
        <v>351</v>
      </c>
      <c r="AZ58" s="69" t="s">
        <v>372</v>
      </c>
      <c r="BB58" s="121" t="s">
        <v>270</v>
      </c>
      <c r="BC58" s="69" t="s">
        <v>19</v>
      </c>
      <c r="BD58" s="68" t="str">
        <f>VLOOKUP(UNG.[[#This Row],[CURSO]],'[1]POS_VIVO_0112 a 3101_CAMP. REG)'!$F$224:$G$331,2,FALSE)</f>
        <v>Direito</v>
      </c>
      <c r="BE58" s="70">
        <f>VLOOKUP(UNG.[[#This Row],[CURSO]],'[1]POS_VIVO_0112 a 3101_CAMP. REG)'!$F$224:$H$331,3,FALSE)</f>
        <v>12</v>
      </c>
      <c r="BF58" s="70">
        <f>VLOOKUP(UNG.[[#This Row],[CURSO]],'[1]POS_VIVO_0112 a 3101_CAMP. REG)'!$F$224:$I$331,4,FALSE)</f>
        <v>19</v>
      </c>
      <c r="BG58" s="73">
        <f>VLOOKUP(UNG.[[#This Row],[CURSO]],'[1]POS_VIVO_0112 a 3101_CAMP. REG)'!$F$224:$J$331,5,FALSE)</f>
        <v>262.27804200000003</v>
      </c>
      <c r="BH58" s="72">
        <f>VLOOKUP(UNG.[[#This Row],[CURSO]],'[1]POS_VIVO_0112 a 3101_CAMP. REG)'!$F$224:$L$331,7,FALSE)</f>
        <v>0.5</v>
      </c>
      <c r="BI58" s="73">
        <f>VLOOKUP(UNG.[[#This Row],[CURSO]],'[1]POS_VIVO_0112 a 3101_CAMP. REG)'!$F$224:$M$331,8,FALSE)</f>
        <v>118.03</v>
      </c>
      <c r="BJ58" s="72">
        <f>VLOOKUP(UNG.[[#This Row],[CURSO]],'[1]POS_VIVO_0112 a 3101_CAMP. REG)'!$F$224:$P$331,11,FALSE)</f>
        <v>0.55000000000000004</v>
      </c>
      <c r="BK58" s="73">
        <f>VLOOKUP(UNG.[[#This Row],[CURSO]],'[1]POS_VIVO_0112 a 3101_CAMP. REG)'!$F$224:$Q$331,12,FALSE)</f>
        <v>106.22</v>
      </c>
      <c r="BL58" s="75">
        <f>UNG.[[#This Row],[Nº Parcelas]]</f>
        <v>19</v>
      </c>
      <c r="BM58" s="75">
        <f>UNG.[[#This Row],[Nº Parcelas normal2]]-1</f>
        <v>18</v>
      </c>
      <c r="BN58" s="73">
        <f>UNG.[[#This Row],[$ NORMAL]]</f>
        <v>262.27804200000003</v>
      </c>
      <c r="BO58" s="72">
        <f>UNG.[[#This Row],[%  SITE]]</f>
        <v>0.5</v>
      </c>
      <c r="BP58" s="73">
        <f>UNG.[[#This Row],[$ SITE]]</f>
        <v>118.03</v>
      </c>
      <c r="BQ58" s="72">
        <f>UNG.[[#This Row],[%  SGP]]</f>
        <v>0.55000000000000004</v>
      </c>
      <c r="BR58" s="73">
        <f>UNG.[[#This Row],[$ SGP]]</f>
        <v>106.22</v>
      </c>
      <c r="BS58" s="69" t="s">
        <v>351</v>
      </c>
      <c r="BT58" s="69" t="s">
        <v>372</v>
      </c>
      <c r="BV58" s="121" t="s">
        <v>270</v>
      </c>
      <c r="BW58" s="69" t="s">
        <v>19</v>
      </c>
      <c r="BX58" s="69" t="str">
        <f>VLOOKUP(UNINASSAU.[[#This Row],[CURSO]],'[1]POS_VIVO_0112 a 3101_CAMP. REG)'!$F$333:$G$447,2,FALSE)</f>
        <v>Direito</v>
      </c>
      <c r="BY58" s="68">
        <f>VLOOKUP(UNINASSAU.[[#This Row],[CURSO]],'[1]POS_VIVO_0112 a 3101_CAMP. REG)'!$F$333:$H$447,3,FALSE)</f>
        <v>12</v>
      </c>
      <c r="BZ58" s="68">
        <f>VLOOKUP(UNINASSAU.[[#This Row],[CURSO]],'[1]POS_VIVO_0112 a 3101_CAMP. REG)'!$F$333:$I$447,4,FALSE)</f>
        <v>19</v>
      </c>
      <c r="CA58" s="73">
        <f>VLOOKUP(UNINASSAU.[[#This Row],[CURSO]],'[1]POS_VIVO_0112 a 3101_CAMP. REG)'!$F$333:$J$447,5,FALSE)</f>
        <v>262.27804200000003</v>
      </c>
      <c r="CB58" s="72">
        <f>VLOOKUP(UNINASSAU.[[#This Row],[CURSO]],'[1]POS_VIVO_0112 a 3101_CAMP. REG)'!$F$333:$L$447,7,FALSE)</f>
        <v>0.5</v>
      </c>
      <c r="CC58" s="73">
        <f>VLOOKUP(UNINASSAU.[[#This Row],[CURSO]],'[1]POS_VIVO_0112 a 3101_CAMP. REG)'!$F$333:$M$447,8,FALSE)</f>
        <v>118.03</v>
      </c>
      <c r="CD58" s="72">
        <f>VLOOKUP(UNINASSAU.[[#This Row],[CURSO]],'[1]POS_VIVO_0112 a 3101_CAMP. REG)'!$F$333:$P$447,11,FALSE)</f>
        <v>0.55000000000000004</v>
      </c>
      <c r="CE58" s="73">
        <f>VLOOKUP(UNINASSAU.[[#This Row],[CURSO]],'[1]POS_VIVO_0112 a 3101_CAMP. REG)'!$F$333:$Q$447,12,FALSE)</f>
        <v>106.22</v>
      </c>
      <c r="CF58" s="75">
        <f>UNINASSAU.[[#This Row],[Nº Parcelas]]</f>
        <v>19</v>
      </c>
      <c r="CG58" s="75">
        <f>UNINASSAU.[[#This Row],[Nº Parcelas normal2]]-1</f>
        <v>18</v>
      </c>
      <c r="CH58" s="73">
        <f>UNINASSAU.[[#This Row],[$ NORMAL]]</f>
        <v>262.27804200000003</v>
      </c>
      <c r="CI58" s="72">
        <f>UNINASSAU.[[#This Row],[%  SITE]]</f>
        <v>0.5</v>
      </c>
      <c r="CJ58" s="73">
        <f>UNINASSAU.[[#This Row],[$ SITE]]</f>
        <v>118.03</v>
      </c>
      <c r="CK58" s="72">
        <f>UNINASSAU.[[#This Row],[%  SGP]]</f>
        <v>0.55000000000000004</v>
      </c>
      <c r="CL58" s="73">
        <f>UNINASSAU.[[#This Row],[$ SGP]]</f>
        <v>106.22</v>
      </c>
      <c r="CM58" s="69" t="s">
        <v>351</v>
      </c>
      <c r="CN58" s="69" t="s">
        <v>372</v>
      </c>
      <c r="CP58" s="104">
        <v>55</v>
      </c>
      <c r="CQ58" s="121" t="s">
        <v>317</v>
      </c>
    </row>
    <row r="59" spans="14:95" ht="16.5" customHeight="1" x14ac:dyDescent="0.25">
      <c r="N59" s="121" t="s">
        <v>278</v>
      </c>
      <c r="O59" s="69" t="s">
        <v>19</v>
      </c>
      <c r="P59" s="69" t="str">
        <f>VLOOKUP(UNIFAEL.[[#This Row],[CURSO]],'[1]POS_VIVO_0112 a 3101_CAMP. REG)'!$F$5:$G$113,2,FALSE)</f>
        <v>Direito</v>
      </c>
      <c r="Q59" s="68">
        <f>VLOOKUP(UNIFAEL.[[#This Row],[CURSO]],'[1]POS_VIVO_0112 a 3101_CAMP. REG)'!$F$5:$H$113,3,FALSE)</f>
        <v>12</v>
      </c>
      <c r="R59" s="68">
        <f>VLOOKUP(UNIFAEL.[[#This Row],[CURSO]],'[1]POS_VIVO_0112 a 3101_CAMP. REG)'!$F$5:$I$113,4,FALSE)</f>
        <v>19</v>
      </c>
      <c r="S59" s="73">
        <f>VLOOKUP(UNIFAEL.[[#This Row],[CURSO]],'[1]POS_VIVO_0112 a 3101_CAMP. REG)'!$F$5:$J$113,5,FALSE)</f>
        <v>262.27804200000003</v>
      </c>
      <c r="T59" s="124">
        <f>VLOOKUP(UNIFAEL.[[#This Row],[CURSO]],'[1]POS_VIVO_0112 a 3101_CAMP. REG)'!$F$5:$L$113,7,FALSE)</f>
        <v>0.5</v>
      </c>
      <c r="U59" s="71">
        <f>VLOOKUP(UNIFAEL.[[#This Row],[CURSO]],'[1]POS_VIVO_0112 a 3101_CAMP. REG)'!$F$5:$M$113,8,FALSE)</f>
        <v>118.03</v>
      </c>
      <c r="V59" s="72">
        <f>VLOOKUP(UNIFAEL.[[#This Row],[CURSO]],'[1]POS_VIVO_0112 a 3101_CAMP. REG)'!$F$5:$P$113,11,FALSE)</f>
        <v>0.55000000000000004</v>
      </c>
      <c r="W59" s="73">
        <f>VLOOKUP(UNIFAEL.[[#This Row],[CURSO]],'[1]POS_VIVO_0112 a 3101_CAMP. REG)'!$F$5:$Q$113,12,FALSE)</f>
        <v>106.22</v>
      </c>
      <c r="X59" s="75">
        <f>UNIFAEL.[[#This Row],[Nº Parcelas]]</f>
        <v>19</v>
      </c>
      <c r="Y59" s="75">
        <f>UNIFAEL.[[#This Row],[Nº Parcelas normal2]]-1</f>
        <v>18</v>
      </c>
      <c r="Z59" s="73">
        <f>UNIFAEL.[[#This Row],[$ NORMAL]]</f>
        <v>262.27804200000003</v>
      </c>
      <c r="AA59" s="72">
        <f>UNIFAEL.[[#This Row],[%  SITE]]</f>
        <v>0.5</v>
      </c>
      <c r="AB59" s="73">
        <f>UNIFAEL.[[#This Row],[$ SITE]]</f>
        <v>118.03</v>
      </c>
      <c r="AC59" s="72">
        <f>UNIFAEL.[[#This Row],[%  SGP]]</f>
        <v>0.55000000000000004</v>
      </c>
      <c r="AD59" s="73">
        <f>UNIFAEL.[[#This Row],[$ SGP]]</f>
        <v>106.22</v>
      </c>
      <c r="AE59" s="69" t="s">
        <v>371</v>
      </c>
      <c r="AF59" s="69" t="s">
        <v>372</v>
      </c>
      <c r="AH59" s="121" t="s">
        <v>278</v>
      </c>
      <c r="AI59" s="69" t="s">
        <v>19</v>
      </c>
      <c r="AJ59" s="69" t="str">
        <f>VLOOKUP(UNAMA.[[#This Row],[PARCELA MATRICULA NÃO PAGA]],'[1]POS_VIVO_0112 a 3101_CAMP. REG)'!$F$115:$G$222,2,FALSE)</f>
        <v>Direito</v>
      </c>
      <c r="AK59" s="69">
        <f>VLOOKUP(UNAMA.[[#This Row],[PARCELA MATRICULA NÃO PAGA]],'[1]POS_VIVO_0112 a 3101_CAMP. REG)'!$F$115:$H$222,3,FALSE)</f>
        <v>12</v>
      </c>
      <c r="AL59" s="69">
        <f>VLOOKUP(UNAMA.[[#This Row],[PARCELA MATRICULA NÃO PAGA]],'[1]POS_VIVO_0112 a 3101_CAMP. REG)'!$F$115:$I$222,4,FALSE)</f>
        <v>19</v>
      </c>
      <c r="AM59" s="71">
        <f>VLOOKUP(UNAMA.[[#This Row],[PARCELA MATRICULA NÃO PAGA]],'[1]POS_VIVO_0112 a 3101_CAMP. REG)'!$F$115:$J$222,5,FALSE)</f>
        <v>291.43870800000002</v>
      </c>
      <c r="AN59" s="123">
        <f>VLOOKUP(UNAMA.[[#This Row],[PARCELA MATRICULA NÃO PAGA]],'[1]POS_VIVO_0112 a 3101_CAMP. REG)'!$F$115:$L$222,7,FALSE)</f>
        <v>0.5</v>
      </c>
      <c r="AO59" s="73">
        <f>VLOOKUP(UNAMA.[[#This Row],[PARCELA MATRICULA NÃO PAGA]],'[1]POS_VIVO_0112 a 3101_CAMP. REG)'!$F$115:$M$222,8,FALSE)</f>
        <v>131.15</v>
      </c>
      <c r="AP59" s="72">
        <f>VLOOKUP(UNAMA.[[#This Row],[PARCELA MATRICULA NÃO PAGA]],'[1]POS_VIVO_0112 a 3101_CAMP. REG)'!$F$115:$P$222,11,FALSE)</f>
        <v>0.55000000000000004</v>
      </c>
      <c r="AQ59" s="73">
        <f>VLOOKUP(UNAMA.[[#This Row],[PARCELA MATRICULA NÃO PAGA]],'[1]POS_VIVO_0112 a 3101_CAMP. REG)'!$F$115:$Q$222,12,FALSE)</f>
        <v>118.03</v>
      </c>
      <c r="AR59" s="68">
        <f>UNAMA.[[#This Row],[Nº Parcelas]]</f>
        <v>19</v>
      </c>
      <c r="AS59" s="68">
        <f>UNAMA.[[#This Row],[Nº Parcelas normal2]]-1</f>
        <v>18</v>
      </c>
      <c r="AT59" s="71">
        <f>UNAMA.[[#This Row],[$ NORMAL]]</f>
        <v>291.43870800000002</v>
      </c>
      <c r="AU59" s="162">
        <f>UNAMA.[[#This Row],[%  SITE]]</f>
        <v>0.5</v>
      </c>
      <c r="AV59" s="161">
        <f>UNAMA.[[#This Row],[$ SITE]]</f>
        <v>131.15</v>
      </c>
      <c r="AW59" s="162">
        <f>UNAMA.[[#This Row],[%  SGP]]</f>
        <v>0.55000000000000004</v>
      </c>
      <c r="AX59" s="161">
        <f>UNAMA.[[#This Row],[$ SGP]]</f>
        <v>118.03</v>
      </c>
      <c r="AY59" s="69" t="s">
        <v>351</v>
      </c>
      <c r="AZ59" s="69" t="s">
        <v>372</v>
      </c>
      <c r="BB59" s="121" t="s">
        <v>278</v>
      </c>
      <c r="BC59" s="69" t="s">
        <v>19</v>
      </c>
      <c r="BD59" s="68" t="str">
        <f>VLOOKUP(UNG.[[#This Row],[CURSO]],'[1]POS_VIVO_0112 a 3101_CAMP. REG)'!$F$224:$G$331,2,FALSE)</f>
        <v>Direito</v>
      </c>
      <c r="BE59" s="70">
        <f>VLOOKUP(UNG.[[#This Row],[CURSO]],'[1]POS_VIVO_0112 a 3101_CAMP. REG)'!$F$224:$H$331,3,FALSE)</f>
        <v>12</v>
      </c>
      <c r="BF59" s="70">
        <f>VLOOKUP(UNG.[[#This Row],[CURSO]],'[1]POS_VIVO_0112 a 3101_CAMP. REG)'!$F$224:$I$331,4,FALSE)</f>
        <v>19</v>
      </c>
      <c r="BG59" s="73">
        <f>VLOOKUP(UNG.[[#This Row],[CURSO]],'[1]POS_VIVO_0112 a 3101_CAMP. REG)'!$F$224:$J$331,5,FALSE)</f>
        <v>262.27804200000003</v>
      </c>
      <c r="BH59" s="72">
        <f>VLOOKUP(UNG.[[#This Row],[CURSO]],'[1]POS_VIVO_0112 a 3101_CAMP. REG)'!$F$224:$L$331,7,FALSE)</f>
        <v>0.5</v>
      </c>
      <c r="BI59" s="73">
        <f>VLOOKUP(UNG.[[#This Row],[CURSO]],'[1]POS_VIVO_0112 a 3101_CAMP. REG)'!$F$224:$M$331,8,FALSE)</f>
        <v>118.03</v>
      </c>
      <c r="BJ59" s="72">
        <f>VLOOKUP(UNG.[[#This Row],[CURSO]],'[1]POS_VIVO_0112 a 3101_CAMP. REG)'!$F$224:$P$331,11,FALSE)</f>
        <v>0.55000000000000004</v>
      </c>
      <c r="BK59" s="73">
        <f>VLOOKUP(UNG.[[#This Row],[CURSO]],'[1]POS_VIVO_0112 a 3101_CAMP. REG)'!$F$224:$Q$331,12,FALSE)</f>
        <v>106.22</v>
      </c>
      <c r="BL59" s="75">
        <f>UNG.[[#This Row],[Nº Parcelas]]</f>
        <v>19</v>
      </c>
      <c r="BM59" s="75">
        <f>UNG.[[#This Row],[Nº Parcelas normal2]]-1</f>
        <v>18</v>
      </c>
      <c r="BN59" s="73">
        <f>UNG.[[#This Row],[$ NORMAL]]</f>
        <v>262.27804200000003</v>
      </c>
      <c r="BO59" s="72">
        <f>UNG.[[#This Row],[%  SITE]]</f>
        <v>0.5</v>
      </c>
      <c r="BP59" s="73">
        <f>UNG.[[#This Row],[$ SITE]]</f>
        <v>118.03</v>
      </c>
      <c r="BQ59" s="72">
        <f>UNG.[[#This Row],[%  SGP]]</f>
        <v>0.55000000000000004</v>
      </c>
      <c r="BR59" s="73">
        <f>UNG.[[#This Row],[$ SGP]]</f>
        <v>106.22</v>
      </c>
      <c r="BS59" s="69" t="s">
        <v>351</v>
      </c>
      <c r="BT59" s="69" t="s">
        <v>372</v>
      </c>
      <c r="BV59" s="121" t="s">
        <v>278</v>
      </c>
      <c r="BW59" s="69" t="s">
        <v>19</v>
      </c>
      <c r="BX59" s="69" t="str">
        <f>VLOOKUP(UNINASSAU.[[#This Row],[CURSO]],'[1]POS_VIVO_0112 a 3101_CAMP. REG)'!$F$333:$G$447,2,FALSE)</f>
        <v>Direito</v>
      </c>
      <c r="BY59" s="68">
        <f>VLOOKUP(UNINASSAU.[[#This Row],[CURSO]],'[1]POS_VIVO_0112 a 3101_CAMP. REG)'!$F$333:$H$447,3,FALSE)</f>
        <v>12</v>
      </c>
      <c r="BZ59" s="68">
        <f>VLOOKUP(UNINASSAU.[[#This Row],[CURSO]],'[1]POS_VIVO_0112 a 3101_CAMP. REG)'!$F$333:$I$447,4,FALSE)</f>
        <v>19</v>
      </c>
      <c r="CA59" s="73">
        <f>VLOOKUP(UNINASSAU.[[#This Row],[CURSO]],'[1]POS_VIVO_0112 a 3101_CAMP. REG)'!$F$333:$J$447,5,FALSE)</f>
        <v>262.27804200000003</v>
      </c>
      <c r="CB59" s="72">
        <f>VLOOKUP(UNINASSAU.[[#This Row],[CURSO]],'[1]POS_VIVO_0112 a 3101_CAMP. REG)'!$F$333:$L$447,7,FALSE)</f>
        <v>0.5</v>
      </c>
      <c r="CC59" s="73">
        <f>VLOOKUP(UNINASSAU.[[#This Row],[CURSO]],'[1]POS_VIVO_0112 a 3101_CAMP. REG)'!$F$333:$M$447,8,FALSE)</f>
        <v>118.03</v>
      </c>
      <c r="CD59" s="72">
        <f>VLOOKUP(UNINASSAU.[[#This Row],[CURSO]],'[1]POS_VIVO_0112 a 3101_CAMP. REG)'!$F$333:$P$447,11,FALSE)</f>
        <v>0.55000000000000004</v>
      </c>
      <c r="CE59" s="73">
        <f>VLOOKUP(UNINASSAU.[[#This Row],[CURSO]],'[1]POS_VIVO_0112 a 3101_CAMP. REG)'!$F$333:$Q$447,12,FALSE)</f>
        <v>106.22</v>
      </c>
      <c r="CF59" s="75">
        <f>UNINASSAU.[[#This Row],[Nº Parcelas]]</f>
        <v>19</v>
      </c>
      <c r="CG59" s="75">
        <f>UNINASSAU.[[#This Row],[Nº Parcelas normal2]]-1</f>
        <v>18</v>
      </c>
      <c r="CH59" s="73">
        <f>UNINASSAU.[[#This Row],[$ NORMAL]]</f>
        <v>262.27804200000003</v>
      </c>
      <c r="CI59" s="72">
        <f>UNINASSAU.[[#This Row],[%  SITE]]</f>
        <v>0.5</v>
      </c>
      <c r="CJ59" s="73">
        <f>UNINASSAU.[[#This Row],[$ SITE]]</f>
        <v>118.03</v>
      </c>
      <c r="CK59" s="72">
        <f>UNINASSAU.[[#This Row],[%  SGP]]</f>
        <v>0.55000000000000004</v>
      </c>
      <c r="CL59" s="73">
        <f>UNINASSAU.[[#This Row],[$ SGP]]</f>
        <v>106.22</v>
      </c>
      <c r="CM59" s="69" t="s">
        <v>351</v>
      </c>
      <c r="CN59" s="69" t="s">
        <v>372</v>
      </c>
      <c r="CP59" s="104">
        <v>56</v>
      </c>
      <c r="CQ59" s="121" t="s">
        <v>288</v>
      </c>
    </row>
    <row r="60" spans="14:95" ht="16.5" customHeight="1" x14ac:dyDescent="0.25">
      <c r="N60" s="121" t="s">
        <v>294</v>
      </c>
      <c r="O60" s="69" t="s">
        <v>19</v>
      </c>
      <c r="P60" s="69" t="str">
        <f>VLOOKUP(UNIFAEL.[[#This Row],[CURSO]],'[1]POS_VIVO_0112 a 3101_CAMP. REG)'!$F$5:$G$113,2,FALSE)</f>
        <v>Gestão</v>
      </c>
      <c r="Q60" s="68">
        <f>VLOOKUP(UNIFAEL.[[#This Row],[CURSO]],'[1]POS_VIVO_0112 a 3101_CAMP. REG)'!$F$5:$H$113,3,FALSE)</f>
        <v>15</v>
      </c>
      <c r="R60" s="68">
        <f>VLOOKUP(UNIFAEL.[[#This Row],[CURSO]],'[1]POS_VIVO_0112 a 3101_CAMP. REG)'!$F$5:$I$113,4,FALSE)</f>
        <v>19</v>
      </c>
      <c r="S60" s="73">
        <f>VLOOKUP(UNIFAEL.[[#This Row],[CURSO]],'[1]POS_VIVO_0112 a 3101_CAMP. REG)'!$F$5:$J$113,5,FALSE)</f>
        <v>320.59937400000007</v>
      </c>
      <c r="T60" s="124">
        <f>VLOOKUP(UNIFAEL.[[#This Row],[CURSO]],'[1]POS_VIVO_0112 a 3101_CAMP. REG)'!$F$5:$L$113,7,FALSE)</f>
        <v>0.5</v>
      </c>
      <c r="U60" s="71">
        <f>VLOOKUP(UNIFAEL.[[#This Row],[CURSO]],'[1]POS_VIVO_0112 a 3101_CAMP. REG)'!$F$5:$M$113,8,FALSE)</f>
        <v>144.27000000000001</v>
      </c>
      <c r="V60" s="72">
        <f>VLOOKUP(UNIFAEL.[[#This Row],[CURSO]],'[1]POS_VIVO_0112 a 3101_CAMP. REG)'!$F$5:$P$113,11,FALSE)</f>
        <v>0.55000000000000004</v>
      </c>
      <c r="W60" s="73">
        <f>VLOOKUP(UNIFAEL.[[#This Row],[CURSO]],'[1]POS_VIVO_0112 a 3101_CAMP. REG)'!$F$5:$Q$113,12,FALSE)</f>
        <v>129.84</v>
      </c>
      <c r="X60" s="75">
        <f>UNIFAEL.[[#This Row],[Nº Parcelas]]</f>
        <v>19</v>
      </c>
      <c r="Y60" s="75">
        <f>UNIFAEL.[[#This Row],[Nº Parcelas normal2]]-1</f>
        <v>18</v>
      </c>
      <c r="Z60" s="73">
        <f>UNIFAEL.[[#This Row],[$ NORMAL]]</f>
        <v>320.59937400000007</v>
      </c>
      <c r="AA60" s="72">
        <f>UNIFAEL.[[#This Row],[%  SITE]]</f>
        <v>0.5</v>
      </c>
      <c r="AB60" s="73">
        <f>UNIFAEL.[[#This Row],[$ SITE]]</f>
        <v>144.27000000000001</v>
      </c>
      <c r="AC60" s="72">
        <f>UNIFAEL.[[#This Row],[%  SGP]]</f>
        <v>0.55000000000000004</v>
      </c>
      <c r="AD60" s="73">
        <f>UNIFAEL.[[#This Row],[$ SGP]]</f>
        <v>129.84</v>
      </c>
      <c r="AE60" s="69" t="s">
        <v>371</v>
      </c>
      <c r="AF60" s="69" t="s">
        <v>372</v>
      </c>
      <c r="AH60" s="121" t="s">
        <v>294</v>
      </c>
      <c r="AI60" s="69" t="s">
        <v>19</v>
      </c>
      <c r="AJ60" s="69" t="str">
        <f>VLOOKUP(UNAMA.[[#This Row],[PARCELA MATRICULA NÃO PAGA]],'[1]POS_VIVO_0112 a 3101_CAMP. REG)'!$F$115:$G$222,2,FALSE)</f>
        <v>Gestão</v>
      </c>
      <c r="AK60" s="69">
        <f>VLOOKUP(UNAMA.[[#This Row],[PARCELA MATRICULA NÃO PAGA]],'[1]POS_VIVO_0112 a 3101_CAMP. REG)'!$F$115:$H$222,3,FALSE)</f>
        <v>15</v>
      </c>
      <c r="AL60" s="69">
        <f>VLOOKUP(UNAMA.[[#This Row],[PARCELA MATRICULA NÃO PAGA]],'[1]POS_VIVO_0112 a 3101_CAMP. REG)'!$F$115:$I$222,4,FALSE)</f>
        <v>19</v>
      </c>
      <c r="AM60" s="71">
        <f>VLOOKUP(UNAMA.[[#This Row],[PARCELA MATRICULA NÃO PAGA]],'[1]POS_VIVO_0112 a 3101_CAMP. REG)'!$F$115:$J$222,5,FALSE)</f>
        <v>352.66770900000006</v>
      </c>
      <c r="AN60" s="123">
        <f>VLOOKUP(UNAMA.[[#This Row],[PARCELA MATRICULA NÃO PAGA]],'[1]POS_VIVO_0112 a 3101_CAMP. REG)'!$F$115:$L$222,7,FALSE)</f>
        <v>0.5</v>
      </c>
      <c r="AO60" s="73">
        <f>VLOOKUP(UNAMA.[[#This Row],[PARCELA MATRICULA NÃO PAGA]],'[1]POS_VIVO_0112 a 3101_CAMP. REG)'!$F$115:$M$222,8,FALSE)</f>
        <v>158.69999999999999</v>
      </c>
      <c r="AP60" s="72">
        <f>VLOOKUP(UNAMA.[[#This Row],[PARCELA MATRICULA NÃO PAGA]],'[1]POS_VIVO_0112 a 3101_CAMP. REG)'!$F$115:$P$222,11,FALSE)</f>
        <v>0.55000000000000004</v>
      </c>
      <c r="AQ60" s="73">
        <f>VLOOKUP(UNAMA.[[#This Row],[PARCELA MATRICULA NÃO PAGA]],'[1]POS_VIVO_0112 a 3101_CAMP. REG)'!$F$115:$Q$222,12,FALSE)</f>
        <v>142.83000000000001</v>
      </c>
      <c r="AR60" s="68">
        <f>UNAMA.[[#This Row],[Nº Parcelas]]</f>
        <v>19</v>
      </c>
      <c r="AS60" s="68">
        <f>UNAMA.[[#This Row],[Nº Parcelas normal2]]-1</f>
        <v>18</v>
      </c>
      <c r="AT60" s="71">
        <f>UNAMA.[[#This Row],[$ NORMAL]]</f>
        <v>352.66770900000006</v>
      </c>
      <c r="AU60" s="162">
        <f>UNAMA.[[#This Row],[%  SITE]]</f>
        <v>0.5</v>
      </c>
      <c r="AV60" s="161">
        <f>UNAMA.[[#This Row],[$ SITE]]</f>
        <v>158.69999999999999</v>
      </c>
      <c r="AW60" s="162">
        <f>UNAMA.[[#This Row],[%  SGP]]</f>
        <v>0.55000000000000004</v>
      </c>
      <c r="AX60" s="161">
        <f>UNAMA.[[#This Row],[$ SGP]]</f>
        <v>142.83000000000001</v>
      </c>
      <c r="AY60" s="69" t="s">
        <v>351</v>
      </c>
      <c r="AZ60" s="69" t="s">
        <v>372</v>
      </c>
      <c r="BB60" s="121" t="s">
        <v>294</v>
      </c>
      <c r="BC60" s="69" t="s">
        <v>19</v>
      </c>
      <c r="BD60" s="68" t="str">
        <f>VLOOKUP(UNG.[[#This Row],[CURSO]],'[1]POS_VIVO_0112 a 3101_CAMP. REG)'!$F$224:$G$331,2,FALSE)</f>
        <v>Gestão</v>
      </c>
      <c r="BE60" s="70">
        <f>VLOOKUP(UNG.[[#This Row],[CURSO]],'[1]POS_VIVO_0112 a 3101_CAMP. REG)'!$F$224:$H$331,3,FALSE)</f>
        <v>15</v>
      </c>
      <c r="BF60" s="70">
        <f>VLOOKUP(UNG.[[#This Row],[CURSO]],'[1]POS_VIVO_0112 a 3101_CAMP. REG)'!$F$224:$I$331,4,FALSE)</f>
        <v>19</v>
      </c>
      <c r="BG60" s="73">
        <f>VLOOKUP(UNG.[[#This Row],[CURSO]],'[1]POS_VIVO_0112 a 3101_CAMP. REG)'!$F$224:$J$331,5,FALSE)</f>
        <v>320.59937400000007</v>
      </c>
      <c r="BH60" s="72">
        <f>VLOOKUP(UNG.[[#This Row],[CURSO]],'[1]POS_VIVO_0112 a 3101_CAMP. REG)'!$F$224:$L$331,7,FALSE)</f>
        <v>0.5</v>
      </c>
      <c r="BI60" s="73">
        <f>VLOOKUP(UNG.[[#This Row],[CURSO]],'[1]POS_VIVO_0112 a 3101_CAMP. REG)'!$F$224:$M$331,8,FALSE)</f>
        <v>144.27000000000001</v>
      </c>
      <c r="BJ60" s="72">
        <f>VLOOKUP(UNG.[[#This Row],[CURSO]],'[1]POS_VIVO_0112 a 3101_CAMP. REG)'!$F$224:$P$331,11,FALSE)</f>
        <v>0.55000000000000004</v>
      </c>
      <c r="BK60" s="73">
        <f>VLOOKUP(UNG.[[#This Row],[CURSO]],'[1]POS_VIVO_0112 a 3101_CAMP. REG)'!$F$224:$Q$331,12,FALSE)</f>
        <v>129.84</v>
      </c>
      <c r="BL60" s="75">
        <f>UNG.[[#This Row],[Nº Parcelas]]</f>
        <v>19</v>
      </c>
      <c r="BM60" s="75">
        <f>UNG.[[#This Row],[Nº Parcelas normal2]]-1</f>
        <v>18</v>
      </c>
      <c r="BN60" s="73">
        <f>UNG.[[#This Row],[$ NORMAL]]</f>
        <v>320.59937400000007</v>
      </c>
      <c r="BO60" s="72">
        <f>UNG.[[#This Row],[%  SITE]]</f>
        <v>0.5</v>
      </c>
      <c r="BP60" s="73">
        <f>UNG.[[#This Row],[$ SITE]]</f>
        <v>144.27000000000001</v>
      </c>
      <c r="BQ60" s="72">
        <f>UNG.[[#This Row],[%  SGP]]</f>
        <v>0.55000000000000004</v>
      </c>
      <c r="BR60" s="73">
        <f>UNG.[[#This Row],[$ SGP]]</f>
        <v>129.84</v>
      </c>
      <c r="BS60" s="69" t="s">
        <v>351</v>
      </c>
      <c r="BT60" s="69" t="s">
        <v>372</v>
      </c>
      <c r="BV60" s="121" t="s">
        <v>294</v>
      </c>
      <c r="BW60" s="69" t="s">
        <v>19</v>
      </c>
      <c r="BX60" s="69" t="str">
        <f>VLOOKUP(UNINASSAU.[[#This Row],[CURSO]],'[1]POS_VIVO_0112 a 3101_CAMP. REG)'!$F$333:$G$447,2,FALSE)</f>
        <v>Gestão</v>
      </c>
      <c r="BY60" s="68">
        <f>VLOOKUP(UNINASSAU.[[#This Row],[CURSO]],'[1]POS_VIVO_0112 a 3101_CAMP. REG)'!$F$333:$H$447,3,FALSE)</f>
        <v>15</v>
      </c>
      <c r="BZ60" s="68">
        <f>VLOOKUP(UNINASSAU.[[#This Row],[CURSO]],'[1]POS_VIVO_0112 a 3101_CAMP. REG)'!$F$333:$I$447,4,FALSE)</f>
        <v>19</v>
      </c>
      <c r="CA60" s="73">
        <f>VLOOKUP(UNINASSAU.[[#This Row],[CURSO]],'[1]POS_VIVO_0112 a 3101_CAMP. REG)'!$F$333:$J$447,5,FALSE)</f>
        <v>320.59937400000007</v>
      </c>
      <c r="CB60" s="72">
        <f>VLOOKUP(UNINASSAU.[[#This Row],[CURSO]],'[1]POS_VIVO_0112 a 3101_CAMP. REG)'!$F$333:$L$447,7,FALSE)</f>
        <v>0.5</v>
      </c>
      <c r="CC60" s="73">
        <f>VLOOKUP(UNINASSAU.[[#This Row],[CURSO]],'[1]POS_VIVO_0112 a 3101_CAMP. REG)'!$F$333:$M$447,8,FALSE)</f>
        <v>144.27000000000001</v>
      </c>
      <c r="CD60" s="72">
        <f>VLOOKUP(UNINASSAU.[[#This Row],[CURSO]],'[1]POS_VIVO_0112 a 3101_CAMP. REG)'!$F$333:$P$447,11,FALSE)</f>
        <v>0.55000000000000004</v>
      </c>
      <c r="CE60" s="73">
        <f>VLOOKUP(UNINASSAU.[[#This Row],[CURSO]],'[1]POS_VIVO_0112 a 3101_CAMP. REG)'!$F$333:$Q$447,12,FALSE)</f>
        <v>129.84</v>
      </c>
      <c r="CF60" s="75">
        <f>UNINASSAU.[[#This Row],[Nº Parcelas]]</f>
        <v>19</v>
      </c>
      <c r="CG60" s="75">
        <f>UNINASSAU.[[#This Row],[Nº Parcelas normal2]]-1</f>
        <v>18</v>
      </c>
      <c r="CH60" s="73">
        <f>UNINASSAU.[[#This Row],[$ NORMAL]]</f>
        <v>320.59937400000007</v>
      </c>
      <c r="CI60" s="72">
        <f>UNINASSAU.[[#This Row],[%  SITE]]</f>
        <v>0.5</v>
      </c>
      <c r="CJ60" s="73">
        <f>UNINASSAU.[[#This Row],[$ SITE]]</f>
        <v>144.27000000000001</v>
      </c>
      <c r="CK60" s="72">
        <f>UNINASSAU.[[#This Row],[%  SGP]]</f>
        <v>0.55000000000000004</v>
      </c>
      <c r="CL60" s="73">
        <f>UNINASSAU.[[#This Row],[$ SGP]]</f>
        <v>129.84</v>
      </c>
      <c r="CM60" s="69" t="s">
        <v>351</v>
      </c>
      <c r="CN60" s="69" t="s">
        <v>372</v>
      </c>
      <c r="CP60" s="104">
        <v>57</v>
      </c>
      <c r="CQ60" s="121" t="s">
        <v>318</v>
      </c>
    </row>
    <row r="61" spans="14:95" ht="16.5" customHeight="1" x14ac:dyDescent="0.25">
      <c r="N61" s="121" t="s">
        <v>153</v>
      </c>
      <c r="O61" s="69" t="s">
        <v>19</v>
      </c>
      <c r="P61" s="69" t="str">
        <f>VLOOKUP(UNIFAEL.[[#This Row],[CURSO]],'[1]POS_VIVO_0112 a 3101_CAMP. REG)'!$F$5:$G$113,2,FALSE)</f>
        <v>Educação</v>
      </c>
      <c r="Q61" s="68">
        <f>VLOOKUP(UNIFAEL.[[#This Row],[CURSO]],'[1]POS_VIVO_0112 a 3101_CAMP. REG)'!$F$5:$H$113,3,FALSE)</f>
        <v>12</v>
      </c>
      <c r="R61" s="68">
        <f>VLOOKUP(UNIFAEL.[[#This Row],[CURSO]],'[1]POS_VIVO_0112 a 3101_CAMP. REG)'!$F$5:$I$113,4,FALSE)</f>
        <v>19</v>
      </c>
      <c r="S61" s="73">
        <f>VLOOKUP(UNIFAEL.[[#This Row],[CURSO]],'[1]POS_VIVO_0112 a 3101_CAMP. REG)'!$F$5:$J$113,5,FALSE)</f>
        <v>262.27804200000003</v>
      </c>
      <c r="T61" s="124">
        <f>VLOOKUP(UNIFAEL.[[#This Row],[CURSO]],'[1]POS_VIVO_0112 a 3101_CAMP. REG)'!$F$5:$L$113,7,FALSE)</f>
        <v>0.3</v>
      </c>
      <c r="U61" s="71">
        <f>VLOOKUP(UNIFAEL.[[#This Row],[CURSO]],'[1]POS_VIVO_0112 a 3101_CAMP. REG)'!$F$5:$M$113,8,FALSE)</f>
        <v>165.24</v>
      </c>
      <c r="V61" s="72">
        <f>VLOOKUP(UNIFAEL.[[#This Row],[CURSO]],'[1]POS_VIVO_0112 a 3101_CAMP. REG)'!$F$5:$P$113,11,FALSE)</f>
        <v>0.35</v>
      </c>
      <c r="W61" s="73">
        <f>VLOOKUP(UNIFAEL.[[#This Row],[CURSO]],'[1]POS_VIVO_0112 a 3101_CAMP. REG)'!$F$5:$Q$113,12,FALSE)</f>
        <v>153.43</v>
      </c>
      <c r="X61" s="75">
        <f>UNIFAEL.[[#This Row],[Nº Parcelas]]</f>
        <v>19</v>
      </c>
      <c r="Y61" s="75">
        <f>UNIFAEL.[[#This Row],[Nº Parcelas normal2]]-1</f>
        <v>18</v>
      </c>
      <c r="Z61" s="73">
        <f>UNIFAEL.[[#This Row],[$ NORMAL]]</f>
        <v>262.27804200000003</v>
      </c>
      <c r="AA61" s="72">
        <f>UNIFAEL.[[#This Row],[%  SITE]]</f>
        <v>0.3</v>
      </c>
      <c r="AB61" s="73">
        <f>UNIFAEL.[[#This Row],[$ SITE]]</f>
        <v>165.24</v>
      </c>
      <c r="AC61" s="72">
        <f>UNIFAEL.[[#This Row],[%  SGP]]</f>
        <v>0.35</v>
      </c>
      <c r="AD61" s="73">
        <f>UNIFAEL.[[#This Row],[$ SGP]]</f>
        <v>153.43</v>
      </c>
      <c r="AE61" s="69" t="s">
        <v>371</v>
      </c>
      <c r="AF61" s="69" t="s">
        <v>372</v>
      </c>
      <c r="AH61" s="121" t="s">
        <v>153</v>
      </c>
      <c r="AI61" s="69" t="s">
        <v>19</v>
      </c>
      <c r="AJ61" s="69" t="str">
        <f>VLOOKUP(UNAMA.[[#This Row],[PARCELA MATRICULA NÃO PAGA]],'[1]POS_VIVO_0112 a 3101_CAMP. REG)'!$F$115:$G$222,2,FALSE)</f>
        <v>Educação</v>
      </c>
      <c r="AK61" s="69">
        <f>VLOOKUP(UNAMA.[[#This Row],[PARCELA MATRICULA NÃO PAGA]],'[1]POS_VIVO_0112 a 3101_CAMP. REG)'!$F$115:$H$222,3,FALSE)</f>
        <v>12</v>
      </c>
      <c r="AL61" s="69">
        <f>VLOOKUP(UNAMA.[[#This Row],[PARCELA MATRICULA NÃO PAGA]],'[1]POS_VIVO_0112 a 3101_CAMP. REG)'!$F$115:$I$222,4,FALSE)</f>
        <v>19</v>
      </c>
      <c r="AM61" s="71">
        <f>VLOOKUP(UNAMA.[[#This Row],[PARCELA MATRICULA NÃO PAGA]],'[1]POS_VIVO_0112 a 3101_CAMP. REG)'!$F$115:$J$222,5,FALSE)</f>
        <v>291.43870800000002</v>
      </c>
      <c r="AN61" s="123">
        <f>VLOOKUP(UNAMA.[[#This Row],[PARCELA MATRICULA NÃO PAGA]],'[1]POS_VIVO_0112 a 3101_CAMP. REG)'!$F$115:$L$222,7,FALSE)</f>
        <v>0.3</v>
      </c>
      <c r="AO61" s="73">
        <f>VLOOKUP(UNAMA.[[#This Row],[PARCELA MATRICULA NÃO PAGA]],'[1]POS_VIVO_0112 a 3101_CAMP. REG)'!$F$115:$M$222,8,FALSE)</f>
        <v>183.61</v>
      </c>
      <c r="AP61" s="72">
        <f>VLOOKUP(UNAMA.[[#This Row],[PARCELA MATRICULA NÃO PAGA]],'[1]POS_VIVO_0112 a 3101_CAMP. REG)'!$F$115:$P$222,11,FALSE)</f>
        <v>0.35</v>
      </c>
      <c r="AQ61" s="73">
        <f>VLOOKUP(UNAMA.[[#This Row],[PARCELA MATRICULA NÃO PAGA]],'[1]POS_VIVO_0112 a 3101_CAMP. REG)'!$F$115:$Q$222,12,FALSE)</f>
        <v>170.49</v>
      </c>
      <c r="AR61" s="68">
        <f>UNAMA.[[#This Row],[Nº Parcelas]]</f>
        <v>19</v>
      </c>
      <c r="AS61" s="68">
        <f>UNAMA.[[#This Row],[Nº Parcelas normal2]]-1</f>
        <v>18</v>
      </c>
      <c r="AT61" s="71">
        <f>UNAMA.[[#This Row],[$ NORMAL]]</f>
        <v>291.43870800000002</v>
      </c>
      <c r="AU61" s="162">
        <f>UNAMA.[[#This Row],[%  SITE]]</f>
        <v>0.3</v>
      </c>
      <c r="AV61" s="161">
        <f>UNAMA.[[#This Row],[$ SITE]]</f>
        <v>183.61</v>
      </c>
      <c r="AW61" s="162">
        <f>UNAMA.[[#This Row],[%  SGP]]</f>
        <v>0.35</v>
      </c>
      <c r="AX61" s="161">
        <f>UNAMA.[[#This Row],[$ SGP]]</f>
        <v>170.49</v>
      </c>
      <c r="AY61" s="69" t="s">
        <v>351</v>
      </c>
      <c r="AZ61" s="69" t="s">
        <v>372</v>
      </c>
      <c r="BB61" s="121" t="s">
        <v>153</v>
      </c>
      <c r="BC61" s="69" t="s">
        <v>19</v>
      </c>
      <c r="BD61" s="68" t="str">
        <f>VLOOKUP(UNG.[[#This Row],[CURSO]],'[1]POS_VIVO_0112 a 3101_CAMP. REG)'!$F$224:$G$331,2,FALSE)</f>
        <v>Educação</v>
      </c>
      <c r="BE61" s="70">
        <f>VLOOKUP(UNG.[[#This Row],[CURSO]],'[1]POS_VIVO_0112 a 3101_CAMP. REG)'!$F$224:$H$331,3,FALSE)</f>
        <v>12</v>
      </c>
      <c r="BF61" s="70">
        <f>VLOOKUP(UNG.[[#This Row],[CURSO]],'[1]POS_VIVO_0112 a 3101_CAMP. REG)'!$F$224:$I$331,4,FALSE)</f>
        <v>19</v>
      </c>
      <c r="BG61" s="73">
        <f>VLOOKUP(UNG.[[#This Row],[CURSO]],'[1]POS_VIVO_0112 a 3101_CAMP. REG)'!$F$224:$J$331,5,FALSE)</f>
        <v>262.27804200000003</v>
      </c>
      <c r="BH61" s="72">
        <f>VLOOKUP(UNG.[[#This Row],[CURSO]],'[1]POS_VIVO_0112 a 3101_CAMP. REG)'!$F$224:$L$331,7,FALSE)</f>
        <v>0.3</v>
      </c>
      <c r="BI61" s="73">
        <f>VLOOKUP(UNG.[[#This Row],[CURSO]],'[1]POS_VIVO_0112 a 3101_CAMP. REG)'!$F$224:$M$331,8,FALSE)</f>
        <v>165.24</v>
      </c>
      <c r="BJ61" s="72">
        <f>VLOOKUP(UNG.[[#This Row],[CURSO]],'[1]POS_VIVO_0112 a 3101_CAMP. REG)'!$F$224:$P$331,11,FALSE)</f>
        <v>0.35</v>
      </c>
      <c r="BK61" s="73">
        <f>VLOOKUP(UNG.[[#This Row],[CURSO]],'[1]POS_VIVO_0112 a 3101_CAMP. REG)'!$F$224:$Q$331,12,FALSE)</f>
        <v>153.43</v>
      </c>
      <c r="BL61" s="75">
        <f>UNG.[[#This Row],[Nº Parcelas]]</f>
        <v>19</v>
      </c>
      <c r="BM61" s="75">
        <f>UNG.[[#This Row],[Nº Parcelas normal2]]-1</f>
        <v>18</v>
      </c>
      <c r="BN61" s="73">
        <f>UNG.[[#This Row],[$ NORMAL]]</f>
        <v>262.27804200000003</v>
      </c>
      <c r="BO61" s="72">
        <f>UNG.[[#This Row],[%  SITE]]</f>
        <v>0.3</v>
      </c>
      <c r="BP61" s="73">
        <f>UNG.[[#This Row],[$ SITE]]</f>
        <v>165.24</v>
      </c>
      <c r="BQ61" s="72">
        <f>UNG.[[#This Row],[%  SGP]]</f>
        <v>0.35</v>
      </c>
      <c r="BR61" s="73">
        <f>UNG.[[#This Row],[$ SGP]]</f>
        <v>153.43</v>
      </c>
      <c r="BS61" s="69" t="s">
        <v>351</v>
      </c>
      <c r="BT61" s="69" t="s">
        <v>372</v>
      </c>
      <c r="BV61" s="121" t="s">
        <v>153</v>
      </c>
      <c r="BW61" s="69" t="s">
        <v>19</v>
      </c>
      <c r="BX61" s="69" t="str">
        <f>VLOOKUP(UNINASSAU.[[#This Row],[CURSO]],'[1]POS_VIVO_0112 a 3101_CAMP. REG)'!$F$333:$G$447,2,FALSE)</f>
        <v>Educação</v>
      </c>
      <c r="BY61" s="68">
        <f>VLOOKUP(UNINASSAU.[[#This Row],[CURSO]],'[1]POS_VIVO_0112 a 3101_CAMP. REG)'!$F$333:$H$447,3,FALSE)</f>
        <v>12</v>
      </c>
      <c r="BZ61" s="68">
        <f>VLOOKUP(UNINASSAU.[[#This Row],[CURSO]],'[1]POS_VIVO_0112 a 3101_CAMP. REG)'!$F$333:$I$447,4,FALSE)</f>
        <v>19</v>
      </c>
      <c r="CA61" s="73">
        <f>VLOOKUP(UNINASSAU.[[#This Row],[CURSO]],'[1]POS_VIVO_0112 a 3101_CAMP. REG)'!$F$333:$J$447,5,FALSE)</f>
        <v>262.27804200000003</v>
      </c>
      <c r="CB61" s="72">
        <f>VLOOKUP(UNINASSAU.[[#This Row],[CURSO]],'[1]POS_VIVO_0112 a 3101_CAMP. REG)'!$F$333:$L$447,7,FALSE)</f>
        <v>0.3</v>
      </c>
      <c r="CC61" s="73">
        <f>VLOOKUP(UNINASSAU.[[#This Row],[CURSO]],'[1]POS_VIVO_0112 a 3101_CAMP. REG)'!$F$333:$M$447,8,FALSE)</f>
        <v>165.24</v>
      </c>
      <c r="CD61" s="72">
        <f>VLOOKUP(UNINASSAU.[[#This Row],[CURSO]],'[1]POS_VIVO_0112 a 3101_CAMP. REG)'!$F$333:$P$447,11,FALSE)</f>
        <v>0.35</v>
      </c>
      <c r="CE61" s="73">
        <f>VLOOKUP(UNINASSAU.[[#This Row],[CURSO]],'[1]POS_VIVO_0112 a 3101_CAMP. REG)'!$F$333:$Q$447,12,FALSE)</f>
        <v>153.43</v>
      </c>
      <c r="CF61" s="75">
        <f>UNINASSAU.[[#This Row],[Nº Parcelas]]</f>
        <v>19</v>
      </c>
      <c r="CG61" s="75">
        <f>UNINASSAU.[[#This Row],[Nº Parcelas normal2]]-1</f>
        <v>18</v>
      </c>
      <c r="CH61" s="73">
        <f>UNINASSAU.[[#This Row],[$ NORMAL]]</f>
        <v>262.27804200000003</v>
      </c>
      <c r="CI61" s="72">
        <f>UNINASSAU.[[#This Row],[%  SITE]]</f>
        <v>0.3</v>
      </c>
      <c r="CJ61" s="73">
        <f>UNINASSAU.[[#This Row],[$ SITE]]</f>
        <v>165.24</v>
      </c>
      <c r="CK61" s="72">
        <f>UNINASSAU.[[#This Row],[%  SGP]]</f>
        <v>0.35</v>
      </c>
      <c r="CL61" s="73">
        <f>UNINASSAU.[[#This Row],[$ SGP]]</f>
        <v>153.43</v>
      </c>
      <c r="CM61" s="69" t="s">
        <v>351</v>
      </c>
      <c r="CN61" s="69" t="s">
        <v>372</v>
      </c>
      <c r="CP61" s="104">
        <v>58</v>
      </c>
      <c r="CQ61" s="121" t="s">
        <v>320</v>
      </c>
    </row>
    <row r="62" spans="14:95" ht="16.5" customHeight="1" x14ac:dyDescent="0.25">
      <c r="N62" s="121" t="s">
        <v>288</v>
      </c>
      <c r="O62" s="69" t="s">
        <v>19</v>
      </c>
      <c r="P62" s="69" t="str">
        <f>VLOOKUP(UNIFAEL.[[#This Row],[CURSO]],'[1]POS_VIVO_0112 a 3101_CAMP. REG)'!$F$5:$G$113,2,FALSE)</f>
        <v>Educação</v>
      </c>
      <c r="Q62" s="68">
        <f>VLOOKUP(UNIFAEL.[[#This Row],[CURSO]],'[1]POS_VIVO_0112 a 3101_CAMP. REG)'!$F$5:$H$113,3,FALSE)</f>
        <v>12</v>
      </c>
      <c r="R62" s="68">
        <f>VLOOKUP(UNIFAEL.[[#This Row],[CURSO]],'[1]POS_VIVO_0112 a 3101_CAMP. REG)'!$F$5:$I$113,4,FALSE)</f>
        <v>19</v>
      </c>
      <c r="S62" s="73">
        <f>VLOOKUP(UNIFAEL.[[#This Row],[CURSO]],'[1]POS_VIVO_0112 a 3101_CAMP. REG)'!$F$5:$J$113,5,FALSE)</f>
        <v>262.27804200000003</v>
      </c>
      <c r="T62" s="124">
        <f>VLOOKUP(UNIFAEL.[[#This Row],[CURSO]],'[1]POS_VIVO_0112 a 3101_CAMP. REG)'!$F$5:$L$113,7,FALSE)</f>
        <v>0.4</v>
      </c>
      <c r="U62" s="71">
        <f>VLOOKUP(UNIFAEL.[[#This Row],[CURSO]],'[1]POS_VIVO_0112 a 3101_CAMP. REG)'!$F$5:$M$113,8,FALSE)</f>
        <v>141.63</v>
      </c>
      <c r="V62" s="72">
        <f>VLOOKUP(UNIFAEL.[[#This Row],[CURSO]],'[1]POS_VIVO_0112 a 3101_CAMP. REG)'!$F$5:$P$113,11,FALSE)</f>
        <v>0.45</v>
      </c>
      <c r="W62" s="73">
        <f>VLOOKUP(UNIFAEL.[[#This Row],[CURSO]],'[1]POS_VIVO_0112 a 3101_CAMP. REG)'!$F$5:$Q$113,12,FALSE)</f>
        <v>129.83000000000001</v>
      </c>
      <c r="X62" s="75">
        <f>UNIFAEL.[[#This Row],[Nº Parcelas]]</f>
        <v>19</v>
      </c>
      <c r="Y62" s="75">
        <f>UNIFAEL.[[#This Row],[Nº Parcelas normal2]]-1</f>
        <v>18</v>
      </c>
      <c r="Z62" s="73">
        <f>UNIFAEL.[[#This Row],[$ NORMAL]]</f>
        <v>262.27804200000003</v>
      </c>
      <c r="AA62" s="72">
        <f>UNIFAEL.[[#This Row],[%  SITE]]</f>
        <v>0.4</v>
      </c>
      <c r="AB62" s="73">
        <f>UNIFAEL.[[#This Row],[$ SITE]]</f>
        <v>141.63</v>
      </c>
      <c r="AC62" s="72">
        <f>UNIFAEL.[[#This Row],[%  SGP]]</f>
        <v>0.45</v>
      </c>
      <c r="AD62" s="73">
        <f>UNIFAEL.[[#This Row],[$ SGP]]</f>
        <v>129.83000000000001</v>
      </c>
      <c r="AE62" s="69" t="s">
        <v>371</v>
      </c>
      <c r="AF62" s="69" t="s">
        <v>372</v>
      </c>
      <c r="AH62" s="121" t="s">
        <v>288</v>
      </c>
      <c r="AI62" s="69" t="s">
        <v>19</v>
      </c>
      <c r="AJ62" s="69" t="str">
        <f>VLOOKUP(UNAMA.[[#This Row],[PARCELA MATRICULA NÃO PAGA]],'[1]POS_VIVO_0112 a 3101_CAMP. REG)'!$F$115:$G$222,2,FALSE)</f>
        <v>Educação</v>
      </c>
      <c r="AK62" s="69">
        <f>VLOOKUP(UNAMA.[[#This Row],[PARCELA MATRICULA NÃO PAGA]],'[1]POS_VIVO_0112 a 3101_CAMP. REG)'!$F$115:$H$222,3,FALSE)</f>
        <v>12</v>
      </c>
      <c r="AL62" s="69">
        <f>VLOOKUP(UNAMA.[[#This Row],[PARCELA MATRICULA NÃO PAGA]],'[1]POS_VIVO_0112 a 3101_CAMP. REG)'!$F$115:$I$222,4,FALSE)</f>
        <v>19</v>
      </c>
      <c r="AM62" s="71">
        <f>VLOOKUP(UNAMA.[[#This Row],[PARCELA MATRICULA NÃO PAGA]],'[1]POS_VIVO_0112 a 3101_CAMP. REG)'!$F$115:$J$222,5,FALSE)</f>
        <v>291.43870800000002</v>
      </c>
      <c r="AN62" s="123">
        <f>VLOOKUP(UNAMA.[[#This Row],[PARCELA MATRICULA NÃO PAGA]],'[1]POS_VIVO_0112 a 3101_CAMP. REG)'!$F$115:$L$222,7,FALSE)</f>
        <v>0.4</v>
      </c>
      <c r="AO62" s="73">
        <f>VLOOKUP(UNAMA.[[#This Row],[PARCELA MATRICULA NÃO PAGA]],'[1]POS_VIVO_0112 a 3101_CAMP. REG)'!$F$115:$M$222,8,FALSE)</f>
        <v>157.38</v>
      </c>
      <c r="AP62" s="72">
        <f>VLOOKUP(UNAMA.[[#This Row],[PARCELA MATRICULA NÃO PAGA]],'[1]POS_VIVO_0112 a 3101_CAMP. REG)'!$F$115:$P$222,11,FALSE)</f>
        <v>0.45</v>
      </c>
      <c r="AQ62" s="73">
        <f>VLOOKUP(UNAMA.[[#This Row],[PARCELA MATRICULA NÃO PAGA]],'[1]POS_VIVO_0112 a 3101_CAMP. REG)'!$F$115:$Q$222,12,FALSE)</f>
        <v>144.26</v>
      </c>
      <c r="AR62" s="68">
        <f>UNAMA.[[#This Row],[Nº Parcelas]]</f>
        <v>19</v>
      </c>
      <c r="AS62" s="68">
        <f>UNAMA.[[#This Row],[Nº Parcelas normal2]]-1</f>
        <v>18</v>
      </c>
      <c r="AT62" s="71">
        <f>UNAMA.[[#This Row],[$ NORMAL]]</f>
        <v>291.43870800000002</v>
      </c>
      <c r="AU62" s="162">
        <f>UNAMA.[[#This Row],[%  SITE]]</f>
        <v>0.4</v>
      </c>
      <c r="AV62" s="161">
        <f>UNAMA.[[#This Row],[$ SITE]]</f>
        <v>157.38</v>
      </c>
      <c r="AW62" s="162">
        <f>UNAMA.[[#This Row],[%  SGP]]</f>
        <v>0.45</v>
      </c>
      <c r="AX62" s="161">
        <f>UNAMA.[[#This Row],[$ SGP]]</f>
        <v>144.26</v>
      </c>
      <c r="AY62" s="69" t="s">
        <v>351</v>
      </c>
      <c r="AZ62" s="69" t="s">
        <v>372</v>
      </c>
      <c r="BB62" s="121" t="s">
        <v>288</v>
      </c>
      <c r="BC62" s="69" t="s">
        <v>19</v>
      </c>
      <c r="BD62" s="68" t="str">
        <f>VLOOKUP(UNG.[[#This Row],[CURSO]],'[1]POS_VIVO_0112 a 3101_CAMP. REG)'!$F$224:$G$331,2,FALSE)</f>
        <v>Educação</v>
      </c>
      <c r="BE62" s="70">
        <f>VLOOKUP(UNG.[[#This Row],[CURSO]],'[1]POS_VIVO_0112 a 3101_CAMP. REG)'!$F$224:$H$331,3,FALSE)</f>
        <v>12</v>
      </c>
      <c r="BF62" s="70">
        <f>VLOOKUP(UNG.[[#This Row],[CURSO]],'[1]POS_VIVO_0112 a 3101_CAMP. REG)'!$F$224:$I$331,4,FALSE)</f>
        <v>19</v>
      </c>
      <c r="BG62" s="73">
        <f>VLOOKUP(UNG.[[#This Row],[CURSO]],'[1]POS_VIVO_0112 a 3101_CAMP. REG)'!$F$224:$J$331,5,FALSE)</f>
        <v>262.27804200000003</v>
      </c>
      <c r="BH62" s="72">
        <f>VLOOKUP(UNG.[[#This Row],[CURSO]],'[1]POS_VIVO_0112 a 3101_CAMP. REG)'!$F$224:$L$331,7,FALSE)</f>
        <v>0.4</v>
      </c>
      <c r="BI62" s="73">
        <f>VLOOKUP(UNG.[[#This Row],[CURSO]],'[1]POS_VIVO_0112 a 3101_CAMP. REG)'!$F$224:$M$331,8,FALSE)</f>
        <v>141.63</v>
      </c>
      <c r="BJ62" s="72">
        <f>VLOOKUP(UNG.[[#This Row],[CURSO]],'[1]POS_VIVO_0112 a 3101_CAMP. REG)'!$F$224:$P$331,11,FALSE)</f>
        <v>0.45</v>
      </c>
      <c r="BK62" s="73">
        <f>VLOOKUP(UNG.[[#This Row],[CURSO]],'[1]POS_VIVO_0112 a 3101_CAMP. REG)'!$F$224:$Q$331,12,FALSE)</f>
        <v>129.83000000000001</v>
      </c>
      <c r="BL62" s="75">
        <f>UNG.[[#This Row],[Nº Parcelas]]</f>
        <v>19</v>
      </c>
      <c r="BM62" s="75">
        <f>UNG.[[#This Row],[Nº Parcelas normal2]]-1</f>
        <v>18</v>
      </c>
      <c r="BN62" s="73">
        <f>UNG.[[#This Row],[$ NORMAL]]</f>
        <v>262.27804200000003</v>
      </c>
      <c r="BO62" s="72">
        <f>UNG.[[#This Row],[%  SITE]]</f>
        <v>0.4</v>
      </c>
      <c r="BP62" s="73">
        <f>UNG.[[#This Row],[$ SITE]]</f>
        <v>141.63</v>
      </c>
      <c r="BQ62" s="72">
        <f>UNG.[[#This Row],[%  SGP]]</f>
        <v>0.45</v>
      </c>
      <c r="BR62" s="73">
        <f>UNG.[[#This Row],[$ SGP]]</f>
        <v>129.83000000000001</v>
      </c>
      <c r="BS62" s="69" t="s">
        <v>351</v>
      </c>
      <c r="BT62" s="69" t="s">
        <v>372</v>
      </c>
      <c r="BV62" s="121" t="s">
        <v>288</v>
      </c>
      <c r="BW62" s="69" t="s">
        <v>19</v>
      </c>
      <c r="BX62" s="69" t="str">
        <f>VLOOKUP(UNINASSAU.[[#This Row],[CURSO]],'[1]POS_VIVO_0112 a 3101_CAMP. REG)'!$F$333:$G$447,2,FALSE)</f>
        <v>Educação</v>
      </c>
      <c r="BY62" s="68">
        <f>VLOOKUP(UNINASSAU.[[#This Row],[CURSO]],'[1]POS_VIVO_0112 a 3101_CAMP. REG)'!$F$333:$H$447,3,FALSE)</f>
        <v>12</v>
      </c>
      <c r="BZ62" s="68">
        <f>VLOOKUP(UNINASSAU.[[#This Row],[CURSO]],'[1]POS_VIVO_0112 a 3101_CAMP. REG)'!$F$333:$I$447,4,FALSE)</f>
        <v>19</v>
      </c>
      <c r="CA62" s="73">
        <f>VLOOKUP(UNINASSAU.[[#This Row],[CURSO]],'[1]POS_VIVO_0112 a 3101_CAMP. REG)'!$F$333:$J$447,5,FALSE)</f>
        <v>262.27804200000003</v>
      </c>
      <c r="CB62" s="72">
        <f>VLOOKUP(UNINASSAU.[[#This Row],[CURSO]],'[1]POS_VIVO_0112 a 3101_CAMP. REG)'!$F$333:$L$447,7,FALSE)</f>
        <v>0.4</v>
      </c>
      <c r="CC62" s="73">
        <f>VLOOKUP(UNINASSAU.[[#This Row],[CURSO]],'[1]POS_VIVO_0112 a 3101_CAMP. REG)'!$F$333:$M$447,8,FALSE)</f>
        <v>141.63</v>
      </c>
      <c r="CD62" s="72">
        <f>VLOOKUP(UNINASSAU.[[#This Row],[CURSO]],'[1]POS_VIVO_0112 a 3101_CAMP. REG)'!$F$333:$P$447,11,FALSE)</f>
        <v>0.45</v>
      </c>
      <c r="CE62" s="73">
        <f>VLOOKUP(UNINASSAU.[[#This Row],[CURSO]],'[1]POS_VIVO_0112 a 3101_CAMP. REG)'!$F$333:$Q$447,12,FALSE)</f>
        <v>129.83000000000001</v>
      </c>
      <c r="CF62" s="75">
        <f>UNINASSAU.[[#This Row],[Nº Parcelas]]</f>
        <v>19</v>
      </c>
      <c r="CG62" s="75">
        <f>UNINASSAU.[[#This Row],[Nº Parcelas normal2]]-1</f>
        <v>18</v>
      </c>
      <c r="CH62" s="73">
        <f>UNINASSAU.[[#This Row],[$ NORMAL]]</f>
        <v>262.27804200000003</v>
      </c>
      <c r="CI62" s="72">
        <f>UNINASSAU.[[#This Row],[%  SITE]]</f>
        <v>0.4</v>
      </c>
      <c r="CJ62" s="73">
        <f>UNINASSAU.[[#This Row],[$ SITE]]</f>
        <v>141.63</v>
      </c>
      <c r="CK62" s="72">
        <f>UNINASSAU.[[#This Row],[%  SGP]]</f>
        <v>0.45</v>
      </c>
      <c r="CL62" s="73">
        <f>UNINASSAU.[[#This Row],[$ SGP]]</f>
        <v>129.83000000000001</v>
      </c>
      <c r="CM62" s="69" t="s">
        <v>351</v>
      </c>
      <c r="CN62" s="69" t="s">
        <v>372</v>
      </c>
      <c r="CP62" s="104">
        <v>59</v>
      </c>
      <c r="CQ62" s="121" t="s">
        <v>322</v>
      </c>
    </row>
    <row r="63" spans="14:95" ht="16.5" customHeight="1" x14ac:dyDescent="0.25">
      <c r="N63" s="121" t="s">
        <v>71</v>
      </c>
      <c r="O63" s="69" t="s">
        <v>19</v>
      </c>
      <c r="P63" s="69" t="str">
        <f>VLOOKUP(UNIFAEL.[[#This Row],[CURSO]],'[1]POS_VIVO_0112 a 3101_CAMP. REG)'!$F$5:$G$113,2,FALSE)</f>
        <v>Direito</v>
      </c>
      <c r="Q63" s="68">
        <f>VLOOKUP(UNIFAEL.[[#This Row],[CURSO]],'[1]POS_VIVO_0112 a 3101_CAMP. REG)'!$F$5:$H$113,3,FALSE)</f>
        <v>12</v>
      </c>
      <c r="R63" s="68">
        <f>VLOOKUP(UNIFAEL.[[#This Row],[CURSO]],'[1]POS_VIVO_0112 a 3101_CAMP. REG)'!$F$5:$I$113,4,FALSE)</f>
        <v>19</v>
      </c>
      <c r="S63" s="73">
        <f>VLOOKUP(UNIFAEL.[[#This Row],[CURSO]],'[1]POS_VIVO_0112 a 3101_CAMP. REG)'!$F$5:$J$113,5,FALSE)</f>
        <v>262.27804200000003</v>
      </c>
      <c r="T63" s="124">
        <f>VLOOKUP(UNIFAEL.[[#This Row],[CURSO]],'[1]POS_VIVO_0112 a 3101_CAMP. REG)'!$F$5:$L$113,7,FALSE)</f>
        <v>0.5</v>
      </c>
      <c r="U63" s="71">
        <f>VLOOKUP(UNIFAEL.[[#This Row],[CURSO]],'[1]POS_VIVO_0112 a 3101_CAMP. REG)'!$F$5:$M$113,8,FALSE)</f>
        <v>118.03</v>
      </c>
      <c r="V63" s="72">
        <f>VLOOKUP(UNIFAEL.[[#This Row],[CURSO]],'[1]POS_VIVO_0112 a 3101_CAMP. REG)'!$F$5:$P$113,11,FALSE)</f>
        <v>0.55000000000000004</v>
      </c>
      <c r="W63" s="73">
        <f>VLOOKUP(UNIFAEL.[[#This Row],[CURSO]],'[1]POS_VIVO_0112 a 3101_CAMP. REG)'!$F$5:$Q$113,12,FALSE)</f>
        <v>106.22</v>
      </c>
      <c r="X63" s="75">
        <f>UNIFAEL.[[#This Row],[Nº Parcelas]]</f>
        <v>19</v>
      </c>
      <c r="Y63" s="75">
        <f>UNIFAEL.[[#This Row],[Nº Parcelas normal2]]-1</f>
        <v>18</v>
      </c>
      <c r="Z63" s="73">
        <f>UNIFAEL.[[#This Row],[$ NORMAL]]</f>
        <v>262.27804200000003</v>
      </c>
      <c r="AA63" s="72">
        <f>UNIFAEL.[[#This Row],[%  SITE]]</f>
        <v>0.5</v>
      </c>
      <c r="AB63" s="73">
        <f>UNIFAEL.[[#This Row],[$ SITE]]</f>
        <v>118.03</v>
      </c>
      <c r="AC63" s="72">
        <f>UNIFAEL.[[#This Row],[%  SGP]]</f>
        <v>0.55000000000000004</v>
      </c>
      <c r="AD63" s="73">
        <f>UNIFAEL.[[#This Row],[$ SGP]]</f>
        <v>106.22</v>
      </c>
      <c r="AE63" s="69" t="s">
        <v>371</v>
      </c>
      <c r="AF63" s="69" t="s">
        <v>372</v>
      </c>
      <c r="AH63" s="121" t="s">
        <v>71</v>
      </c>
      <c r="AI63" s="69" t="s">
        <v>19</v>
      </c>
      <c r="AJ63" s="69" t="str">
        <f>VLOOKUP(UNAMA.[[#This Row],[PARCELA MATRICULA NÃO PAGA]],'[1]POS_VIVO_0112 a 3101_CAMP. REG)'!$F$115:$G$222,2,FALSE)</f>
        <v>Direito</v>
      </c>
      <c r="AK63" s="69">
        <f>VLOOKUP(UNAMA.[[#This Row],[PARCELA MATRICULA NÃO PAGA]],'[1]POS_VIVO_0112 a 3101_CAMP. REG)'!$F$115:$H$222,3,FALSE)</f>
        <v>12</v>
      </c>
      <c r="AL63" s="69">
        <f>VLOOKUP(UNAMA.[[#This Row],[PARCELA MATRICULA NÃO PAGA]],'[1]POS_VIVO_0112 a 3101_CAMP. REG)'!$F$115:$I$222,4,FALSE)</f>
        <v>19</v>
      </c>
      <c r="AM63" s="71">
        <f>VLOOKUP(UNAMA.[[#This Row],[PARCELA MATRICULA NÃO PAGA]],'[1]POS_VIVO_0112 a 3101_CAMP. REG)'!$F$115:$J$222,5,FALSE)</f>
        <v>291.43870800000002</v>
      </c>
      <c r="AN63" s="123">
        <f>VLOOKUP(UNAMA.[[#This Row],[PARCELA MATRICULA NÃO PAGA]],'[1]POS_VIVO_0112 a 3101_CAMP. REG)'!$F$115:$L$222,7,FALSE)</f>
        <v>0.5</v>
      </c>
      <c r="AO63" s="73">
        <f>VLOOKUP(UNAMA.[[#This Row],[PARCELA MATRICULA NÃO PAGA]],'[1]POS_VIVO_0112 a 3101_CAMP. REG)'!$F$115:$M$222,8,FALSE)</f>
        <v>131.15</v>
      </c>
      <c r="AP63" s="72">
        <f>VLOOKUP(UNAMA.[[#This Row],[PARCELA MATRICULA NÃO PAGA]],'[1]POS_VIVO_0112 a 3101_CAMP. REG)'!$F$115:$P$222,11,FALSE)</f>
        <v>0.55000000000000004</v>
      </c>
      <c r="AQ63" s="73">
        <f>VLOOKUP(UNAMA.[[#This Row],[PARCELA MATRICULA NÃO PAGA]],'[1]POS_VIVO_0112 a 3101_CAMP. REG)'!$F$115:$Q$222,12,FALSE)</f>
        <v>118.03</v>
      </c>
      <c r="AR63" s="68">
        <f>UNAMA.[[#This Row],[Nº Parcelas]]</f>
        <v>19</v>
      </c>
      <c r="AS63" s="68">
        <f>UNAMA.[[#This Row],[Nº Parcelas normal2]]-1</f>
        <v>18</v>
      </c>
      <c r="AT63" s="71">
        <f>UNAMA.[[#This Row],[$ NORMAL]]</f>
        <v>291.43870800000002</v>
      </c>
      <c r="AU63" s="162">
        <f>UNAMA.[[#This Row],[%  SITE]]</f>
        <v>0.5</v>
      </c>
      <c r="AV63" s="161">
        <f>UNAMA.[[#This Row],[$ SITE]]</f>
        <v>131.15</v>
      </c>
      <c r="AW63" s="162">
        <f>UNAMA.[[#This Row],[%  SGP]]</f>
        <v>0.55000000000000004</v>
      </c>
      <c r="AX63" s="161">
        <f>UNAMA.[[#This Row],[$ SGP]]</f>
        <v>118.03</v>
      </c>
      <c r="AY63" s="69" t="s">
        <v>351</v>
      </c>
      <c r="AZ63" s="69" t="s">
        <v>372</v>
      </c>
      <c r="BB63" s="121" t="s">
        <v>71</v>
      </c>
      <c r="BC63" s="69" t="s">
        <v>19</v>
      </c>
      <c r="BD63" s="68" t="str">
        <f>VLOOKUP(UNG.[[#This Row],[CURSO]],'[1]POS_VIVO_0112 a 3101_CAMP. REG)'!$F$224:$G$331,2,FALSE)</f>
        <v>Direito</v>
      </c>
      <c r="BE63" s="70">
        <f>VLOOKUP(UNG.[[#This Row],[CURSO]],'[1]POS_VIVO_0112 a 3101_CAMP. REG)'!$F$224:$H$331,3,FALSE)</f>
        <v>12</v>
      </c>
      <c r="BF63" s="70">
        <f>VLOOKUP(UNG.[[#This Row],[CURSO]],'[1]POS_VIVO_0112 a 3101_CAMP. REG)'!$F$224:$I$331,4,FALSE)</f>
        <v>19</v>
      </c>
      <c r="BG63" s="73">
        <f>VLOOKUP(UNG.[[#This Row],[CURSO]],'[1]POS_VIVO_0112 a 3101_CAMP. REG)'!$F$224:$J$331,5,FALSE)</f>
        <v>262.27804200000003</v>
      </c>
      <c r="BH63" s="72">
        <f>VLOOKUP(UNG.[[#This Row],[CURSO]],'[1]POS_VIVO_0112 a 3101_CAMP. REG)'!$F$224:$L$331,7,FALSE)</f>
        <v>0.5</v>
      </c>
      <c r="BI63" s="73">
        <f>VLOOKUP(UNG.[[#This Row],[CURSO]],'[1]POS_VIVO_0112 a 3101_CAMP. REG)'!$F$224:$M$331,8,FALSE)</f>
        <v>118.03</v>
      </c>
      <c r="BJ63" s="72">
        <f>VLOOKUP(UNG.[[#This Row],[CURSO]],'[1]POS_VIVO_0112 a 3101_CAMP. REG)'!$F$224:$P$331,11,FALSE)</f>
        <v>0.55000000000000004</v>
      </c>
      <c r="BK63" s="73">
        <f>VLOOKUP(UNG.[[#This Row],[CURSO]],'[1]POS_VIVO_0112 a 3101_CAMP. REG)'!$F$224:$Q$331,12,FALSE)</f>
        <v>106.22</v>
      </c>
      <c r="BL63" s="75">
        <f>UNG.[[#This Row],[Nº Parcelas]]</f>
        <v>19</v>
      </c>
      <c r="BM63" s="75">
        <f>UNG.[[#This Row],[Nº Parcelas normal2]]-1</f>
        <v>18</v>
      </c>
      <c r="BN63" s="73">
        <f>UNG.[[#This Row],[$ NORMAL]]</f>
        <v>262.27804200000003</v>
      </c>
      <c r="BO63" s="72">
        <f>UNG.[[#This Row],[%  SITE]]</f>
        <v>0.5</v>
      </c>
      <c r="BP63" s="73">
        <f>UNG.[[#This Row],[$ SITE]]</f>
        <v>118.03</v>
      </c>
      <c r="BQ63" s="72">
        <f>UNG.[[#This Row],[%  SGP]]</f>
        <v>0.55000000000000004</v>
      </c>
      <c r="BR63" s="73">
        <f>UNG.[[#This Row],[$ SGP]]</f>
        <v>106.22</v>
      </c>
      <c r="BS63" s="69" t="s">
        <v>351</v>
      </c>
      <c r="BT63" s="69" t="s">
        <v>372</v>
      </c>
      <c r="BV63" s="121" t="s">
        <v>71</v>
      </c>
      <c r="BW63" s="69" t="s">
        <v>19</v>
      </c>
      <c r="BX63" s="69" t="str">
        <f>VLOOKUP(UNINASSAU.[[#This Row],[CURSO]],'[1]POS_VIVO_0112 a 3101_CAMP. REG)'!$F$333:$G$447,2,FALSE)</f>
        <v>Direito</v>
      </c>
      <c r="BY63" s="68">
        <f>VLOOKUP(UNINASSAU.[[#This Row],[CURSO]],'[1]POS_VIVO_0112 a 3101_CAMP. REG)'!$F$333:$H$447,3,FALSE)</f>
        <v>12</v>
      </c>
      <c r="BZ63" s="68">
        <f>VLOOKUP(UNINASSAU.[[#This Row],[CURSO]],'[1]POS_VIVO_0112 a 3101_CAMP. REG)'!$F$333:$I$447,4,FALSE)</f>
        <v>19</v>
      </c>
      <c r="CA63" s="73">
        <f>VLOOKUP(UNINASSAU.[[#This Row],[CURSO]],'[1]POS_VIVO_0112 a 3101_CAMP. REG)'!$F$333:$J$447,5,FALSE)</f>
        <v>262.27804200000003</v>
      </c>
      <c r="CB63" s="72">
        <f>VLOOKUP(UNINASSAU.[[#This Row],[CURSO]],'[1]POS_VIVO_0112 a 3101_CAMP. REG)'!$F$333:$L$447,7,FALSE)</f>
        <v>0.5</v>
      </c>
      <c r="CC63" s="73">
        <f>VLOOKUP(UNINASSAU.[[#This Row],[CURSO]],'[1]POS_VIVO_0112 a 3101_CAMP. REG)'!$F$333:$M$447,8,FALSE)</f>
        <v>118.03</v>
      </c>
      <c r="CD63" s="72">
        <f>VLOOKUP(UNINASSAU.[[#This Row],[CURSO]],'[1]POS_VIVO_0112 a 3101_CAMP. REG)'!$F$333:$P$447,11,FALSE)</f>
        <v>0.55000000000000004</v>
      </c>
      <c r="CE63" s="73">
        <f>VLOOKUP(UNINASSAU.[[#This Row],[CURSO]],'[1]POS_VIVO_0112 a 3101_CAMP. REG)'!$F$333:$Q$447,12,FALSE)</f>
        <v>106.22</v>
      </c>
      <c r="CF63" s="75">
        <f>UNINASSAU.[[#This Row],[Nº Parcelas]]</f>
        <v>19</v>
      </c>
      <c r="CG63" s="75">
        <f>UNINASSAU.[[#This Row],[Nº Parcelas normal2]]-1</f>
        <v>18</v>
      </c>
      <c r="CH63" s="73">
        <f>UNINASSAU.[[#This Row],[$ NORMAL]]</f>
        <v>262.27804200000003</v>
      </c>
      <c r="CI63" s="72">
        <f>UNINASSAU.[[#This Row],[%  SITE]]</f>
        <v>0.5</v>
      </c>
      <c r="CJ63" s="73">
        <f>UNINASSAU.[[#This Row],[$ SITE]]</f>
        <v>118.03</v>
      </c>
      <c r="CK63" s="72">
        <f>UNINASSAU.[[#This Row],[%  SGP]]</f>
        <v>0.55000000000000004</v>
      </c>
      <c r="CL63" s="73">
        <f>UNINASSAU.[[#This Row],[$ SGP]]</f>
        <v>106.22</v>
      </c>
      <c r="CM63" s="69" t="s">
        <v>351</v>
      </c>
      <c r="CN63" s="69" t="s">
        <v>372</v>
      </c>
      <c r="CP63" s="104">
        <v>60</v>
      </c>
      <c r="CQ63" s="121" t="s">
        <v>323</v>
      </c>
    </row>
    <row r="64" spans="14:95" ht="16.5" customHeight="1" x14ac:dyDescent="0.25">
      <c r="N64" s="121" t="s">
        <v>84</v>
      </c>
      <c r="O64" s="69" t="s">
        <v>19</v>
      </c>
      <c r="P64" s="69" t="str">
        <f>VLOOKUP(UNIFAEL.[[#This Row],[CURSO]],'[1]POS_VIVO_0112 a 3101_CAMP. REG)'!$F$5:$G$113,2,FALSE)</f>
        <v>Educação</v>
      </c>
      <c r="Q64" s="68">
        <f>VLOOKUP(UNIFAEL.[[#This Row],[CURSO]],'[1]POS_VIVO_0112 a 3101_CAMP. REG)'!$F$5:$H$113,3,FALSE)</f>
        <v>12</v>
      </c>
      <c r="R64" s="68">
        <f>VLOOKUP(UNIFAEL.[[#This Row],[CURSO]],'[1]POS_VIVO_0112 a 3101_CAMP. REG)'!$F$5:$I$113,4,FALSE)</f>
        <v>19</v>
      </c>
      <c r="S64" s="73">
        <f>VLOOKUP(UNIFAEL.[[#This Row],[CURSO]],'[1]POS_VIVO_0112 a 3101_CAMP. REG)'!$F$5:$J$113,5,FALSE)</f>
        <v>320.431422</v>
      </c>
      <c r="T64" s="124">
        <f>VLOOKUP(UNIFAEL.[[#This Row],[CURSO]],'[1]POS_VIVO_0112 a 3101_CAMP. REG)'!$F$5:$L$113,7,FALSE)</f>
        <v>0.4</v>
      </c>
      <c r="U64" s="71">
        <f>VLOOKUP(UNIFAEL.[[#This Row],[CURSO]],'[1]POS_VIVO_0112 a 3101_CAMP. REG)'!$F$5:$M$113,8,FALSE)</f>
        <v>173.03</v>
      </c>
      <c r="V64" s="72">
        <f>VLOOKUP(UNIFAEL.[[#This Row],[CURSO]],'[1]POS_VIVO_0112 a 3101_CAMP. REG)'!$F$5:$P$113,11,FALSE)</f>
        <v>0.45</v>
      </c>
      <c r="W64" s="73">
        <f>VLOOKUP(UNIFAEL.[[#This Row],[CURSO]],'[1]POS_VIVO_0112 a 3101_CAMP. REG)'!$F$5:$Q$113,12,FALSE)</f>
        <v>158.61000000000001</v>
      </c>
      <c r="X64" s="75">
        <f>UNIFAEL.[[#This Row],[Nº Parcelas]]</f>
        <v>19</v>
      </c>
      <c r="Y64" s="75">
        <f>UNIFAEL.[[#This Row],[Nº Parcelas normal2]]-1</f>
        <v>18</v>
      </c>
      <c r="Z64" s="73">
        <f>UNIFAEL.[[#This Row],[$ NORMAL]]</f>
        <v>320.431422</v>
      </c>
      <c r="AA64" s="72">
        <f>UNIFAEL.[[#This Row],[%  SITE]]</f>
        <v>0.4</v>
      </c>
      <c r="AB64" s="73">
        <f>UNIFAEL.[[#This Row],[$ SITE]]</f>
        <v>173.03</v>
      </c>
      <c r="AC64" s="72">
        <f>UNIFAEL.[[#This Row],[%  SGP]]</f>
        <v>0.45</v>
      </c>
      <c r="AD64" s="73">
        <f>UNIFAEL.[[#This Row],[$ SGP]]</f>
        <v>158.61000000000001</v>
      </c>
      <c r="AE64" s="69" t="s">
        <v>371</v>
      </c>
      <c r="AF64" s="69" t="s">
        <v>372</v>
      </c>
      <c r="AH64" s="121" t="s">
        <v>84</v>
      </c>
      <c r="AI64" s="69" t="s">
        <v>19</v>
      </c>
      <c r="AJ64" s="69" t="str">
        <f>VLOOKUP(UNAMA.[[#This Row],[PARCELA MATRICULA NÃO PAGA]],'[1]POS_VIVO_0112 a 3101_CAMP. REG)'!$F$115:$G$222,2,FALSE)</f>
        <v>Educação</v>
      </c>
      <c r="AK64" s="69">
        <f>VLOOKUP(UNAMA.[[#This Row],[PARCELA MATRICULA NÃO PAGA]],'[1]POS_VIVO_0112 a 3101_CAMP. REG)'!$F$115:$H$222,3,FALSE)</f>
        <v>12</v>
      </c>
      <c r="AL64" s="69">
        <f>VLOOKUP(UNAMA.[[#This Row],[PARCELA MATRICULA NÃO PAGA]],'[1]POS_VIVO_0112 a 3101_CAMP. REG)'!$F$115:$I$222,4,FALSE)</f>
        <v>19</v>
      </c>
      <c r="AM64" s="71">
        <f>VLOOKUP(UNAMA.[[#This Row],[PARCELA MATRICULA NÃO PAGA]],'[1]POS_VIVO_0112 a 3101_CAMP. REG)'!$F$115:$J$222,5,FALSE)</f>
        <v>352.47876300000007</v>
      </c>
      <c r="AN64" s="123">
        <f>VLOOKUP(UNAMA.[[#This Row],[PARCELA MATRICULA NÃO PAGA]],'[1]POS_VIVO_0112 a 3101_CAMP. REG)'!$F$115:$L$222,7,FALSE)</f>
        <v>0.4</v>
      </c>
      <c r="AO64" s="73">
        <f>VLOOKUP(UNAMA.[[#This Row],[PARCELA MATRICULA NÃO PAGA]],'[1]POS_VIVO_0112 a 3101_CAMP. REG)'!$F$115:$M$222,8,FALSE)</f>
        <v>190.34</v>
      </c>
      <c r="AP64" s="72">
        <f>VLOOKUP(UNAMA.[[#This Row],[PARCELA MATRICULA NÃO PAGA]],'[1]POS_VIVO_0112 a 3101_CAMP. REG)'!$F$115:$P$222,11,FALSE)</f>
        <v>0.45</v>
      </c>
      <c r="AQ64" s="73">
        <f>VLOOKUP(UNAMA.[[#This Row],[PARCELA MATRICULA NÃO PAGA]],'[1]POS_VIVO_0112 a 3101_CAMP. REG)'!$F$115:$Q$222,12,FALSE)</f>
        <v>174.48</v>
      </c>
      <c r="AR64" s="68">
        <f>UNAMA.[[#This Row],[Nº Parcelas]]</f>
        <v>19</v>
      </c>
      <c r="AS64" s="68">
        <f>UNAMA.[[#This Row],[Nº Parcelas normal2]]-1</f>
        <v>18</v>
      </c>
      <c r="AT64" s="71">
        <f>UNAMA.[[#This Row],[$ NORMAL]]</f>
        <v>352.47876300000007</v>
      </c>
      <c r="AU64" s="162">
        <f>UNAMA.[[#This Row],[%  SITE]]</f>
        <v>0.4</v>
      </c>
      <c r="AV64" s="161">
        <f>UNAMA.[[#This Row],[$ SITE]]</f>
        <v>190.34</v>
      </c>
      <c r="AW64" s="162">
        <f>UNAMA.[[#This Row],[%  SGP]]</f>
        <v>0.45</v>
      </c>
      <c r="AX64" s="161">
        <f>UNAMA.[[#This Row],[$ SGP]]</f>
        <v>174.48</v>
      </c>
      <c r="AY64" s="69" t="s">
        <v>351</v>
      </c>
      <c r="AZ64" s="69" t="s">
        <v>372</v>
      </c>
      <c r="BB64" s="121" t="s">
        <v>84</v>
      </c>
      <c r="BC64" s="69" t="s">
        <v>19</v>
      </c>
      <c r="BD64" s="68" t="str">
        <f>VLOOKUP(UNG.[[#This Row],[CURSO]],'[1]POS_VIVO_0112 a 3101_CAMP. REG)'!$F$224:$G$331,2,FALSE)</f>
        <v>Educação</v>
      </c>
      <c r="BE64" s="70">
        <f>VLOOKUP(UNG.[[#This Row],[CURSO]],'[1]POS_VIVO_0112 a 3101_CAMP. REG)'!$F$224:$H$331,3,FALSE)</f>
        <v>12</v>
      </c>
      <c r="BF64" s="70">
        <f>VLOOKUP(UNG.[[#This Row],[CURSO]],'[1]POS_VIVO_0112 a 3101_CAMP. REG)'!$F$224:$I$331,4,FALSE)</f>
        <v>19</v>
      </c>
      <c r="BG64" s="73">
        <f>VLOOKUP(UNG.[[#This Row],[CURSO]],'[1]POS_VIVO_0112 a 3101_CAMP. REG)'!$F$224:$J$331,5,FALSE)</f>
        <v>320.431422</v>
      </c>
      <c r="BH64" s="72">
        <f>VLOOKUP(UNG.[[#This Row],[CURSO]],'[1]POS_VIVO_0112 a 3101_CAMP. REG)'!$F$224:$L$331,7,FALSE)</f>
        <v>0.4</v>
      </c>
      <c r="BI64" s="73">
        <f>VLOOKUP(UNG.[[#This Row],[CURSO]],'[1]POS_VIVO_0112 a 3101_CAMP. REG)'!$F$224:$M$331,8,FALSE)</f>
        <v>173.03</v>
      </c>
      <c r="BJ64" s="72">
        <f>VLOOKUP(UNG.[[#This Row],[CURSO]],'[1]POS_VIVO_0112 a 3101_CAMP. REG)'!$F$224:$P$331,11,FALSE)</f>
        <v>0.45</v>
      </c>
      <c r="BK64" s="73">
        <f>VLOOKUP(UNG.[[#This Row],[CURSO]],'[1]POS_VIVO_0112 a 3101_CAMP. REG)'!$F$224:$Q$331,12,FALSE)</f>
        <v>158.61000000000001</v>
      </c>
      <c r="BL64" s="75">
        <f>UNG.[[#This Row],[Nº Parcelas]]</f>
        <v>19</v>
      </c>
      <c r="BM64" s="75">
        <f>UNG.[[#This Row],[Nº Parcelas normal2]]-1</f>
        <v>18</v>
      </c>
      <c r="BN64" s="73">
        <f>UNG.[[#This Row],[$ NORMAL]]</f>
        <v>320.431422</v>
      </c>
      <c r="BO64" s="72">
        <f>UNG.[[#This Row],[%  SITE]]</f>
        <v>0.4</v>
      </c>
      <c r="BP64" s="73">
        <f>UNG.[[#This Row],[$ SITE]]</f>
        <v>173.03</v>
      </c>
      <c r="BQ64" s="72">
        <f>UNG.[[#This Row],[%  SGP]]</f>
        <v>0.45</v>
      </c>
      <c r="BR64" s="73">
        <f>UNG.[[#This Row],[$ SGP]]</f>
        <v>158.61000000000001</v>
      </c>
      <c r="BS64" s="69" t="s">
        <v>351</v>
      </c>
      <c r="BT64" s="69" t="s">
        <v>372</v>
      </c>
      <c r="BV64" s="121" t="s">
        <v>84</v>
      </c>
      <c r="BW64" s="69" t="s">
        <v>19</v>
      </c>
      <c r="BX64" s="69" t="str">
        <f>VLOOKUP(UNINASSAU.[[#This Row],[CURSO]],'[1]POS_VIVO_0112 a 3101_CAMP. REG)'!$F$333:$G$447,2,FALSE)</f>
        <v>Educação</v>
      </c>
      <c r="BY64" s="68">
        <f>VLOOKUP(UNINASSAU.[[#This Row],[CURSO]],'[1]POS_VIVO_0112 a 3101_CAMP. REG)'!$F$333:$H$447,3,FALSE)</f>
        <v>12</v>
      </c>
      <c r="BZ64" s="68">
        <f>VLOOKUP(UNINASSAU.[[#This Row],[CURSO]],'[1]POS_VIVO_0112 a 3101_CAMP. REG)'!$F$333:$I$447,4,FALSE)</f>
        <v>19</v>
      </c>
      <c r="CA64" s="73">
        <f>VLOOKUP(UNINASSAU.[[#This Row],[CURSO]],'[1]POS_VIVO_0112 a 3101_CAMP. REG)'!$F$333:$J$447,5,FALSE)</f>
        <v>320.431422</v>
      </c>
      <c r="CB64" s="72">
        <f>VLOOKUP(UNINASSAU.[[#This Row],[CURSO]],'[1]POS_VIVO_0112 a 3101_CAMP. REG)'!$F$333:$L$447,7,FALSE)</f>
        <v>0.4</v>
      </c>
      <c r="CC64" s="73">
        <f>VLOOKUP(UNINASSAU.[[#This Row],[CURSO]],'[1]POS_VIVO_0112 a 3101_CAMP. REG)'!$F$333:$M$447,8,FALSE)</f>
        <v>173.03</v>
      </c>
      <c r="CD64" s="72">
        <f>VLOOKUP(UNINASSAU.[[#This Row],[CURSO]],'[1]POS_VIVO_0112 a 3101_CAMP. REG)'!$F$333:$P$447,11,FALSE)</f>
        <v>0.45</v>
      </c>
      <c r="CE64" s="73">
        <f>VLOOKUP(UNINASSAU.[[#This Row],[CURSO]],'[1]POS_VIVO_0112 a 3101_CAMP. REG)'!$F$333:$Q$447,12,FALSE)</f>
        <v>158.61000000000001</v>
      </c>
      <c r="CF64" s="75">
        <f>UNINASSAU.[[#This Row],[Nº Parcelas]]</f>
        <v>19</v>
      </c>
      <c r="CG64" s="75">
        <f>UNINASSAU.[[#This Row],[Nº Parcelas normal2]]-1</f>
        <v>18</v>
      </c>
      <c r="CH64" s="73">
        <f>UNINASSAU.[[#This Row],[$ NORMAL]]</f>
        <v>320.431422</v>
      </c>
      <c r="CI64" s="72">
        <f>UNINASSAU.[[#This Row],[%  SITE]]</f>
        <v>0.4</v>
      </c>
      <c r="CJ64" s="73">
        <f>UNINASSAU.[[#This Row],[$ SITE]]</f>
        <v>173.03</v>
      </c>
      <c r="CK64" s="72">
        <f>UNINASSAU.[[#This Row],[%  SGP]]</f>
        <v>0.45</v>
      </c>
      <c r="CL64" s="73">
        <f>UNINASSAU.[[#This Row],[$ SGP]]</f>
        <v>158.61000000000001</v>
      </c>
      <c r="CM64" s="69" t="s">
        <v>351</v>
      </c>
      <c r="CN64" s="69" t="s">
        <v>372</v>
      </c>
      <c r="CP64" s="104">
        <v>61</v>
      </c>
      <c r="CQ64" s="121" t="s">
        <v>325</v>
      </c>
    </row>
    <row r="65" spans="14:95" ht="16.5" customHeight="1" x14ac:dyDescent="0.25">
      <c r="N65" s="121" t="s">
        <v>263</v>
      </c>
      <c r="O65" s="69" t="s">
        <v>19</v>
      </c>
      <c r="P65" s="69" t="str">
        <f>VLOOKUP(UNIFAEL.[[#This Row],[CURSO]],'[1]POS_VIVO_0112 a 3101_CAMP. REG)'!$F$5:$G$113,2,FALSE)</f>
        <v>Direito</v>
      </c>
      <c r="Q65" s="68">
        <f>VLOOKUP(UNIFAEL.[[#This Row],[CURSO]],'[1]POS_VIVO_0112 a 3101_CAMP. REG)'!$F$5:$H$113,3,FALSE)</f>
        <v>12</v>
      </c>
      <c r="R65" s="68">
        <f>VLOOKUP(UNIFAEL.[[#This Row],[CURSO]],'[1]POS_VIVO_0112 a 3101_CAMP. REG)'!$F$5:$I$113,4,FALSE)</f>
        <v>19</v>
      </c>
      <c r="S65" s="73">
        <f>VLOOKUP(UNIFAEL.[[#This Row],[CURSO]],'[1]POS_VIVO_0112 a 3101_CAMP. REG)'!$F$5:$J$113,5,FALSE)</f>
        <v>262.27804200000003</v>
      </c>
      <c r="T65" s="124">
        <f>VLOOKUP(UNIFAEL.[[#This Row],[CURSO]],'[1]POS_VIVO_0112 a 3101_CAMP. REG)'!$F$5:$L$113,7,FALSE)</f>
        <v>0.3</v>
      </c>
      <c r="U65" s="71">
        <f>VLOOKUP(UNIFAEL.[[#This Row],[CURSO]],'[1]POS_VIVO_0112 a 3101_CAMP. REG)'!$F$5:$M$113,8,FALSE)</f>
        <v>165.24</v>
      </c>
      <c r="V65" s="72">
        <f>VLOOKUP(UNIFAEL.[[#This Row],[CURSO]],'[1]POS_VIVO_0112 a 3101_CAMP. REG)'!$F$5:$P$113,11,FALSE)</f>
        <v>0.35</v>
      </c>
      <c r="W65" s="73">
        <f>VLOOKUP(UNIFAEL.[[#This Row],[CURSO]],'[1]POS_VIVO_0112 a 3101_CAMP. REG)'!$F$5:$Q$113,12,FALSE)</f>
        <v>153.43</v>
      </c>
      <c r="X65" s="75">
        <f>UNIFAEL.[[#This Row],[Nº Parcelas]]</f>
        <v>19</v>
      </c>
      <c r="Y65" s="75">
        <f>UNIFAEL.[[#This Row],[Nº Parcelas normal2]]-1</f>
        <v>18</v>
      </c>
      <c r="Z65" s="73">
        <f>UNIFAEL.[[#This Row],[$ NORMAL]]</f>
        <v>262.27804200000003</v>
      </c>
      <c r="AA65" s="72">
        <f>UNIFAEL.[[#This Row],[%  SITE]]</f>
        <v>0.3</v>
      </c>
      <c r="AB65" s="73">
        <f>UNIFAEL.[[#This Row],[$ SITE]]</f>
        <v>165.24</v>
      </c>
      <c r="AC65" s="72">
        <f>UNIFAEL.[[#This Row],[%  SGP]]</f>
        <v>0.35</v>
      </c>
      <c r="AD65" s="73">
        <f>UNIFAEL.[[#This Row],[$ SGP]]</f>
        <v>153.43</v>
      </c>
      <c r="AE65" s="69" t="s">
        <v>371</v>
      </c>
      <c r="AF65" s="69" t="s">
        <v>372</v>
      </c>
      <c r="AH65" s="121" t="s">
        <v>263</v>
      </c>
      <c r="AI65" s="69" t="s">
        <v>19</v>
      </c>
      <c r="AJ65" s="69" t="str">
        <f>VLOOKUP(UNAMA.[[#This Row],[PARCELA MATRICULA NÃO PAGA]],'[1]POS_VIVO_0112 a 3101_CAMP. REG)'!$F$115:$G$222,2,FALSE)</f>
        <v>Direito</v>
      </c>
      <c r="AK65" s="69">
        <f>VLOOKUP(UNAMA.[[#This Row],[PARCELA MATRICULA NÃO PAGA]],'[1]POS_VIVO_0112 a 3101_CAMP. REG)'!$F$115:$H$222,3,FALSE)</f>
        <v>12</v>
      </c>
      <c r="AL65" s="69">
        <f>VLOOKUP(UNAMA.[[#This Row],[PARCELA MATRICULA NÃO PAGA]],'[1]POS_VIVO_0112 a 3101_CAMP. REG)'!$F$115:$I$222,4,FALSE)</f>
        <v>19</v>
      </c>
      <c r="AM65" s="71">
        <f>VLOOKUP(UNAMA.[[#This Row],[PARCELA MATRICULA NÃO PAGA]],'[1]POS_VIVO_0112 a 3101_CAMP. REG)'!$F$115:$J$222,5,FALSE)</f>
        <v>291.43870800000002</v>
      </c>
      <c r="AN65" s="123">
        <f>VLOOKUP(UNAMA.[[#This Row],[PARCELA MATRICULA NÃO PAGA]],'[1]POS_VIVO_0112 a 3101_CAMP. REG)'!$F$115:$L$222,7,FALSE)</f>
        <v>0.3</v>
      </c>
      <c r="AO65" s="73">
        <f>VLOOKUP(UNAMA.[[#This Row],[PARCELA MATRICULA NÃO PAGA]],'[1]POS_VIVO_0112 a 3101_CAMP. REG)'!$F$115:$M$222,8,FALSE)</f>
        <v>183.61</v>
      </c>
      <c r="AP65" s="72">
        <f>VLOOKUP(UNAMA.[[#This Row],[PARCELA MATRICULA NÃO PAGA]],'[1]POS_VIVO_0112 a 3101_CAMP. REG)'!$F$115:$P$222,11,FALSE)</f>
        <v>0.35</v>
      </c>
      <c r="AQ65" s="73">
        <f>VLOOKUP(UNAMA.[[#This Row],[PARCELA MATRICULA NÃO PAGA]],'[1]POS_VIVO_0112 a 3101_CAMP. REG)'!$F$115:$Q$222,12,FALSE)</f>
        <v>170.49</v>
      </c>
      <c r="AR65" s="68">
        <f>UNAMA.[[#This Row],[Nº Parcelas]]</f>
        <v>19</v>
      </c>
      <c r="AS65" s="68">
        <f>UNAMA.[[#This Row],[Nº Parcelas normal2]]-1</f>
        <v>18</v>
      </c>
      <c r="AT65" s="71">
        <f>UNAMA.[[#This Row],[$ NORMAL]]</f>
        <v>291.43870800000002</v>
      </c>
      <c r="AU65" s="162">
        <f>UNAMA.[[#This Row],[%  SITE]]</f>
        <v>0.3</v>
      </c>
      <c r="AV65" s="161">
        <f>UNAMA.[[#This Row],[$ SITE]]</f>
        <v>183.61</v>
      </c>
      <c r="AW65" s="162">
        <f>UNAMA.[[#This Row],[%  SGP]]</f>
        <v>0.35</v>
      </c>
      <c r="AX65" s="161">
        <f>UNAMA.[[#This Row],[$ SGP]]</f>
        <v>170.49</v>
      </c>
      <c r="AY65" s="69" t="s">
        <v>351</v>
      </c>
      <c r="AZ65" s="69" t="s">
        <v>372</v>
      </c>
      <c r="BB65" s="121" t="s">
        <v>263</v>
      </c>
      <c r="BC65" s="69" t="s">
        <v>19</v>
      </c>
      <c r="BD65" s="68" t="str">
        <f>VLOOKUP(UNG.[[#This Row],[CURSO]],'[1]POS_VIVO_0112 a 3101_CAMP. REG)'!$F$224:$G$331,2,FALSE)</f>
        <v>Direito</v>
      </c>
      <c r="BE65" s="70">
        <f>VLOOKUP(UNG.[[#This Row],[CURSO]],'[1]POS_VIVO_0112 a 3101_CAMP. REG)'!$F$224:$H$331,3,FALSE)</f>
        <v>12</v>
      </c>
      <c r="BF65" s="70">
        <f>VLOOKUP(UNG.[[#This Row],[CURSO]],'[1]POS_VIVO_0112 a 3101_CAMP. REG)'!$F$224:$I$331,4,FALSE)</f>
        <v>19</v>
      </c>
      <c r="BG65" s="73">
        <f>VLOOKUP(UNG.[[#This Row],[CURSO]],'[1]POS_VIVO_0112 a 3101_CAMP. REG)'!$F$224:$J$331,5,FALSE)</f>
        <v>262.27804200000003</v>
      </c>
      <c r="BH65" s="72">
        <f>VLOOKUP(UNG.[[#This Row],[CURSO]],'[1]POS_VIVO_0112 a 3101_CAMP. REG)'!$F$224:$L$331,7,FALSE)</f>
        <v>0.3</v>
      </c>
      <c r="BI65" s="73">
        <f>VLOOKUP(UNG.[[#This Row],[CURSO]],'[1]POS_VIVO_0112 a 3101_CAMP. REG)'!$F$224:$M$331,8,FALSE)</f>
        <v>165.24</v>
      </c>
      <c r="BJ65" s="72">
        <f>VLOOKUP(UNG.[[#This Row],[CURSO]],'[1]POS_VIVO_0112 a 3101_CAMP. REG)'!$F$224:$P$331,11,FALSE)</f>
        <v>0.35</v>
      </c>
      <c r="BK65" s="73">
        <f>VLOOKUP(UNG.[[#This Row],[CURSO]],'[1]POS_VIVO_0112 a 3101_CAMP. REG)'!$F$224:$Q$331,12,FALSE)</f>
        <v>153.43</v>
      </c>
      <c r="BL65" s="75">
        <f>UNG.[[#This Row],[Nº Parcelas]]</f>
        <v>19</v>
      </c>
      <c r="BM65" s="75">
        <f>UNG.[[#This Row],[Nº Parcelas normal2]]-1</f>
        <v>18</v>
      </c>
      <c r="BN65" s="73">
        <f>UNG.[[#This Row],[$ NORMAL]]</f>
        <v>262.27804200000003</v>
      </c>
      <c r="BO65" s="72">
        <f>UNG.[[#This Row],[%  SITE]]</f>
        <v>0.3</v>
      </c>
      <c r="BP65" s="73">
        <f>UNG.[[#This Row],[$ SITE]]</f>
        <v>165.24</v>
      </c>
      <c r="BQ65" s="72">
        <f>UNG.[[#This Row],[%  SGP]]</f>
        <v>0.35</v>
      </c>
      <c r="BR65" s="73">
        <f>UNG.[[#This Row],[$ SGP]]</f>
        <v>153.43</v>
      </c>
      <c r="BS65" s="69" t="s">
        <v>351</v>
      </c>
      <c r="BT65" s="69" t="s">
        <v>372</v>
      </c>
      <c r="BV65" s="121" t="s">
        <v>263</v>
      </c>
      <c r="BW65" s="69" t="s">
        <v>19</v>
      </c>
      <c r="BX65" s="69" t="str">
        <f>VLOOKUP(UNINASSAU.[[#This Row],[CURSO]],'[1]POS_VIVO_0112 a 3101_CAMP. REG)'!$F$333:$G$447,2,FALSE)</f>
        <v>Direito</v>
      </c>
      <c r="BY65" s="68">
        <f>VLOOKUP(UNINASSAU.[[#This Row],[CURSO]],'[1]POS_VIVO_0112 a 3101_CAMP. REG)'!$F$333:$H$447,3,FALSE)</f>
        <v>12</v>
      </c>
      <c r="BZ65" s="68">
        <f>VLOOKUP(UNINASSAU.[[#This Row],[CURSO]],'[1]POS_VIVO_0112 a 3101_CAMP. REG)'!$F$333:$I$447,4,FALSE)</f>
        <v>19</v>
      </c>
      <c r="CA65" s="73">
        <f>VLOOKUP(UNINASSAU.[[#This Row],[CURSO]],'[1]POS_VIVO_0112 a 3101_CAMP. REG)'!$F$333:$J$447,5,FALSE)</f>
        <v>262.27804200000003</v>
      </c>
      <c r="CB65" s="72">
        <f>VLOOKUP(UNINASSAU.[[#This Row],[CURSO]],'[1]POS_VIVO_0112 a 3101_CAMP. REG)'!$F$333:$L$447,7,FALSE)</f>
        <v>0.3</v>
      </c>
      <c r="CC65" s="73">
        <f>VLOOKUP(UNINASSAU.[[#This Row],[CURSO]],'[1]POS_VIVO_0112 a 3101_CAMP. REG)'!$F$333:$M$447,8,FALSE)</f>
        <v>165.24</v>
      </c>
      <c r="CD65" s="72">
        <f>VLOOKUP(UNINASSAU.[[#This Row],[CURSO]],'[1]POS_VIVO_0112 a 3101_CAMP. REG)'!$F$333:$P$447,11,FALSE)</f>
        <v>0.35</v>
      </c>
      <c r="CE65" s="73">
        <f>VLOOKUP(UNINASSAU.[[#This Row],[CURSO]],'[1]POS_VIVO_0112 a 3101_CAMP. REG)'!$F$333:$Q$447,12,FALSE)</f>
        <v>153.43</v>
      </c>
      <c r="CF65" s="75">
        <f>UNINASSAU.[[#This Row],[Nº Parcelas]]</f>
        <v>19</v>
      </c>
      <c r="CG65" s="75">
        <f>UNINASSAU.[[#This Row],[Nº Parcelas normal2]]-1</f>
        <v>18</v>
      </c>
      <c r="CH65" s="73">
        <f>UNINASSAU.[[#This Row],[$ NORMAL]]</f>
        <v>262.27804200000003</v>
      </c>
      <c r="CI65" s="72">
        <f>UNINASSAU.[[#This Row],[%  SITE]]</f>
        <v>0.3</v>
      </c>
      <c r="CJ65" s="73">
        <f>UNINASSAU.[[#This Row],[$ SITE]]</f>
        <v>165.24</v>
      </c>
      <c r="CK65" s="72">
        <f>UNINASSAU.[[#This Row],[%  SGP]]</f>
        <v>0.35</v>
      </c>
      <c r="CL65" s="73">
        <f>UNINASSAU.[[#This Row],[$ SGP]]</f>
        <v>153.43</v>
      </c>
      <c r="CM65" s="69" t="s">
        <v>351</v>
      </c>
      <c r="CN65" s="69" t="s">
        <v>372</v>
      </c>
      <c r="CP65" s="104">
        <v>62</v>
      </c>
      <c r="CQ65" s="121" t="s">
        <v>309</v>
      </c>
    </row>
    <row r="66" spans="14:95" ht="16.5" customHeight="1" x14ac:dyDescent="0.25">
      <c r="N66" s="121" t="s">
        <v>265</v>
      </c>
      <c r="O66" s="69" t="s">
        <v>19</v>
      </c>
      <c r="P66" s="69" t="str">
        <f>VLOOKUP(UNIFAEL.[[#This Row],[CURSO]],'[1]POS_VIVO_0112 a 3101_CAMP. REG)'!$F$5:$G$113,2,FALSE)</f>
        <v>Saúde</v>
      </c>
      <c r="Q66" s="68">
        <f>VLOOKUP(UNIFAEL.[[#This Row],[CURSO]],'[1]POS_VIVO_0112 a 3101_CAMP. REG)'!$F$5:$H$113,3,FALSE)</f>
        <v>12</v>
      </c>
      <c r="R66" s="68">
        <f>VLOOKUP(UNIFAEL.[[#This Row],[CURSO]],'[1]POS_VIVO_0112 a 3101_CAMP. REG)'!$F$5:$I$113,4,FALSE)</f>
        <v>19</v>
      </c>
      <c r="S66" s="73">
        <f>VLOOKUP(UNIFAEL.[[#This Row],[CURSO]],'[1]POS_VIVO_0112 a 3101_CAMP. REG)'!$F$5:$J$113,5,FALSE)</f>
        <v>291.43870800000002</v>
      </c>
      <c r="T66" s="124">
        <f>VLOOKUP(UNIFAEL.[[#This Row],[CURSO]],'[1]POS_VIVO_0112 a 3101_CAMP. REG)'!$F$5:$L$113,7,FALSE)</f>
        <v>0.5</v>
      </c>
      <c r="U66" s="71">
        <f>VLOOKUP(UNIFAEL.[[#This Row],[CURSO]],'[1]POS_VIVO_0112 a 3101_CAMP. REG)'!$F$5:$M$113,8,FALSE)</f>
        <v>131.15</v>
      </c>
      <c r="V66" s="72">
        <f>VLOOKUP(UNIFAEL.[[#This Row],[CURSO]],'[1]POS_VIVO_0112 a 3101_CAMP. REG)'!$F$5:$P$113,11,FALSE)</f>
        <v>0.55000000000000004</v>
      </c>
      <c r="W66" s="73">
        <f>VLOOKUP(UNIFAEL.[[#This Row],[CURSO]],'[1]POS_VIVO_0112 a 3101_CAMP. REG)'!$F$5:$Q$113,12,FALSE)</f>
        <v>118.03</v>
      </c>
      <c r="X66" s="75">
        <f>UNIFAEL.[[#This Row],[Nº Parcelas]]</f>
        <v>19</v>
      </c>
      <c r="Y66" s="75">
        <f>UNIFAEL.[[#This Row],[Nº Parcelas normal2]]-1</f>
        <v>18</v>
      </c>
      <c r="Z66" s="73">
        <f>UNIFAEL.[[#This Row],[$ NORMAL]]</f>
        <v>291.43870800000002</v>
      </c>
      <c r="AA66" s="72">
        <f>UNIFAEL.[[#This Row],[%  SITE]]</f>
        <v>0.5</v>
      </c>
      <c r="AB66" s="73">
        <f>UNIFAEL.[[#This Row],[$ SITE]]</f>
        <v>131.15</v>
      </c>
      <c r="AC66" s="72">
        <f>UNIFAEL.[[#This Row],[%  SGP]]</f>
        <v>0.55000000000000004</v>
      </c>
      <c r="AD66" s="73">
        <f>UNIFAEL.[[#This Row],[$ SGP]]</f>
        <v>118.03</v>
      </c>
      <c r="AE66" s="69" t="s">
        <v>371</v>
      </c>
      <c r="AF66" s="69" t="s">
        <v>372</v>
      </c>
      <c r="AH66" s="121" t="s">
        <v>265</v>
      </c>
      <c r="AI66" s="69" t="s">
        <v>19</v>
      </c>
      <c r="AJ66" s="69" t="str">
        <f>VLOOKUP(UNAMA.[[#This Row],[PARCELA MATRICULA NÃO PAGA]],'[1]POS_VIVO_0112 a 3101_CAMP. REG)'!$F$115:$G$222,2,FALSE)</f>
        <v>Saúde</v>
      </c>
      <c r="AK66" s="69">
        <f>VLOOKUP(UNAMA.[[#This Row],[PARCELA MATRICULA NÃO PAGA]],'[1]POS_VIVO_0112 a 3101_CAMP. REG)'!$F$115:$H$222,3,FALSE)</f>
        <v>12</v>
      </c>
      <c r="AL66" s="69">
        <f>VLOOKUP(UNAMA.[[#This Row],[PARCELA MATRICULA NÃO PAGA]],'[1]POS_VIVO_0112 a 3101_CAMP. REG)'!$F$115:$I$222,4,FALSE)</f>
        <v>19</v>
      </c>
      <c r="AM66" s="71">
        <f>VLOOKUP(UNAMA.[[#This Row],[PARCELA MATRICULA NÃO PAGA]],'[1]POS_VIVO_0112 a 3101_CAMP. REG)'!$F$115:$J$222,5,FALSE)</f>
        <v>320.59937400000007</v>
      </c>
      <c r="AN66" s="123">
        <f>VLOOKUP(UNAMA.[[#This Row],[PARCELA MATRICULA NÃO PAGA]],'[1]POS_VIVO_0112 a 3101_CAMP. REG)'!$F$115:$L$222,7,FALSE)</f>
        <v>0.5</v>
      </c>
      <c r="AO66" s="73">
        <f>VLOOKUP(UNAMA.[[#This Row],[PARCELA MATRICULA NÃO PAGA]],'[1]POS_VIVO_0112 a 3101_CAMP. REG)'!$F$115:$M$222,8,FALSE)</f>
        <v>144.27000000000001</v>
      </c>
      <c r="AP66" s="72">
        <f>VLOOKUP(UNAMA.[[#This Row],[PARCELA MATRICULA NÃO PAGA]],'[1]POS_VIVO_0112 a 3101_CAMP. REG)'!$F$115:$P$222,11,FALSE)</f>
        <v>0.55000000000000004</v>
      </c>
      <c r="AQ66" s="73">
        <f>VLOOKUP(UNAMA.[[#This Row],[PARCELA MATRICULA NÃO PAGA]],'[1]POS_VIVO_0112 a 3101_CAMP. REG)'!$F$115:$Q$222,12,FALSE)</f>
        <v>129.84</v>
      </c>
      <c r="AR66" s="68">
        <f>UNAMA.[[#This Row],[Nº Parcelas]]</f>
        <v>19</v>
      </c>
      <c r="AS66" s="68">
        <f>UNAMA.[[#This Row],[Nº Parcelas normal2]]-1</f>
        <v>18</v>
      </c>
      <c r="AT66" s="71">
        <f>UNAMA.[[#This Row],[$ NORMAL]]</f>
        <v>320.59937400000007</v>
      </c>
      <c r="AU66" s="162">
        <f>UNAMA.[[#This Row],[%  SITE]]</f>
        <v>0.5</v>
      </c>
      <c r="AV66" s="161">
        <f>UNAMA.[[#This Row],[$ SITE]]</f>
        <v>144.27000000000001</v>
      </c>
      <c r="AW66" s="162">
        <f>UNAMA.[[#This Row],[%  SGP]]</f>
        <v>0.55000000000000004</v>
      </c>
      <c r="AX66" s="161">
        <f>UNAMA.[[#This Row],[$ SGP]]</f>
        <v>129.84</v>
      </c>
      <c r="AY66" s="69" t="s">
        <v>351</v>
      </c>
      <c r="AZ66" s="69" t="s">
        <v>372</v>
      </c>
      <c r="BB66" s="121" t="s">
        <v>265</v>
      </c>
      <c r="BC66" s="69" t="s">
        <v>19</v>
      </c>
      <c r="BD66" s="68" t="str">
        <f>VLOOKUP(UNG.[[#This Row],[CURSO]],'[1]POS_VIVO_0112 a 3101_CAMP. REG)'!$F$224:$G$331,2,FALSE)</f>
        <v>Saúde</v>
      </c>
      <c r="BE66" s="70">
        <f>VLOOKUP(UNG.[[#This Row],[CURSO]],'[1]POS_VIVO_0112 a 3101_CAMP. REG)'!$F$224:$H$331,3,FALSE)</f>
        <v>12</v>
      </c>
      <c r="BF66" s="70">
        <f>VLOOKUP(UNG.[[#This Row],[CURSO]],'[1]POS_VIVO_0112 a 3101_CAMP. REG)'!$F$224:$I$331,4,FALSE)</f>
        <v>19</v>
      </c>
      <c r="BG66" s="73">
        <f>VLOOKUP(UNG.[[#This Row],[CURSO]],'[1]POS_VIVO_0112 a 3101_CAMP. REG)'!$F$224:$J$331,5,FALSE)</f>
        <v>291.43870800000002</v>
      </c>
      <c r="BH66" s="72">
        <f>VLOOKUP(UNG.[[#This Row],[CURSO]],'[1]POS_VIVO_0112 a 3101_CAMP. REG)'!$F$224:$L$331,7,FALSE)</f>
        <v>0.5</v>
      </c>
      <c r="BI66" s="73">
        <f>VLOOKUP(UNG.[[#This Row],[CURSO]],'[1]POS_VIVO_0112 a 3101_CAMP. REG)'!$F$224:$M$331,8,FALSE)</f>
        <v>131.15</v>
      </c>
      <c r="BJ66" s="72">
        <f>VLOOKUP(UNG.[[#This Row],[CURSO]],'[1]POS_VIVO_0112 a 3101_CAMP. REG)'!$F$224:$P$331,11,FALSE)</f>
        <v>0.55000000000000004</v>
      </c>
      <c r="BK66" s="73">
        <f>VLOOKUP(UNG.[[#This Row],[CURSO]],'[1]POS_VIVO_0112 a 3101_CAMP. REG)'!$F$224:$Q$331,12,FALSE)</f>
        <v>118.03</v>
      </c>
      <c r="BL66" s="75">
        <f>UNG.[[#This Row],[Nº Parcelas]]</f>
        <v>19</v>
      </c>
      <c r="BM66" s="75">
        <f>UNG.[[#This Row],[Nº Parcelas normal2]]-1</f>
        <v>18</v>
      </c>
      <c r="BN66" s="73">
        <f>UNG.[[#This Row],[$ NORMAL]]</f>
        <v>291.43870800000002</v>
      </c>
      <c r="BO66" s="72">
        <f>UNG.[[#This Row],[%  SITE]]</f>
        <v>0.5</v>
      </c>
      <c r="BP66" s="73">
        <f>UNG.[[#This Row],[$ SITE]]</f>
        <v>131.15</v>
      </c>
      <c r="BQ66" s="72">
        <f>UNG.[[#This Row],[%  SGP]]</f>
        <v>0.55000000000000004</v>
      </c>
      <c r="BR66" s="73">
        <f>UNG.[[#This Row],[$ SGP]]</f>
        <v>118.03</v>
      </c>
      <c r="BS66" s="69" t="s">
        <v>351</v>
      </c>
      <c r="BT66" s="69" t="s">
        <v>372</v>
      </c>
      <c r="BV66" s="121" t="s">
        <v>265</v>
      </c>
      <c r="BW66" s="69" t="s">
        <v>19</v>
      </c>
      <c r="BX66" s="69" t="str">
        <f>VLOOKUP(UNINASSAU.[[#This Row],[CURSO]],'[1]POS_VIVO_0112 a 3101_CAMP. REG)'!$F$333:$G$447,2,FALSE)</f>
        <v>Saúde</v>
      </c>
      <c r="BY66" s="68">
        <f>VLOOKUP(UNINASSAU.[[#This Row],[CURSO]],'[1]POS_VIVO_0112 a 3101_CAMP. REG)'!$F$333:$H$447,3,FALSE)</f>
        <v>12</v>
      </c>
      <c r="BZ66" s="68">
        <f>VLOOKUP(UNINASSAU.[[#This Row],[CURSO]],'[1]POS_VIVO_0112 a 3101_CAMP. REG)'!$F$333:$I$447,4,FALSE)</f>
        <v>19</v>
      </c>
      <c r="CA66" s="73">
        <f>VLOOKUP(UNINASSAU.[[#This Row],[CURSO]],'[1]POS_VIVO_0112 a 3101_CAMP. REG)'!$F$333:$J$447,5,FALSE)</f>
        <v>291.43870800000002</v>
      </c>
      <c r="CB66" s="72">
        <f>VLOOKUP(UNINASSAU.[[#This Row],[CURSO]],'[1]POS_VIVO_0112 a 3101_CAMP. REG)'!$F$333:$L$447,7,FALSE)</f>
        <v>0.5</v>
      </c>
      <c r="CC66" s="73">
        <f>VLOOKUP(UNINASSAU.[[#This Row],[CURSO]],'[1]POS_VIVO_0112 a 3101_CAMP. REG)'!$F$333:$M$447,8,FALSE)</f>
        <v>131.15</v>
      </c>
      <c r="CD66" s="72">
        <f>VLOOKUP(UNINASSAU.[[#This Row],[CURSO]],'[1]POS_VIVO_0112 a 3101_CAMP. REG)'!$F$333:$P$447,11,FALSE)</f>
        <v>0.55000000000000004</v>
      </c>
      <c r="CE66" s="73">
        <f>VLOOKUP(UNINASSAU.[[#This Row],[CURSO]],'[1]POS_VIVO_0112 a 3101_CAMP. REG)'!$F$333:$Q$447,12,FALSE)</f>
        <v>118.03</v>
      </c>
      <c r="CF66" s="75">
        <f>UNINASSAU.[[#This Row],[Nº Parcelas]]</f>
        <v>19</v>
      </c>
      <c r="CG66" s="75">
        <f>UNINASSAU.[[#This Row],[Nº Parcelas normal2]]-1</f>
        <v>18</v>
      </c>
      <c r="CH66" s="73">
        <f>UNINASSAU.[[#This Row],[$ NORMAL]]</f>
        <v>291.43870800000002</v>
      </c>
      <c r="CI66" s="72">
        <f>UNINASSAU.[[#This Row],[%  SITE]]</f>
        <v>0.5</v>
      </c>
      <c r="CJ66" s="73">
        <f>UNINASSAU.[[#This Row],[$ SITE]]</f>
        <v>131.15</v>
      </c>
      <c r="CK66" s="72">
        <f>UNINASSAU.[[#This Row],[%  SGP]]</f>
        <v>0.55000000000000004</v>
      </c>
      <c r="CL66" s="73">
        <f>UNINASSAU.[[#This Row],[$ SGP]]</f>
        <v>118.03</v>
      </c>
      <c r="CM66" s="69" t="s">
        <v>351</v>
      </c>
      <c r="CN66" s="69" t="s">
        <v>372</v>
      </c>
      <c r="CP66" s="104">
        <v>63</v>
      </c>
      <c r="CQ66" s="121" t="s">
        <v>153</v>
      </c>
    </row>
    <row r="67" spans="14:95" ht="16.5" customHeight="1" x14ac:dyDescent="0.25">
      <c r="N67" s="121" t="s">
        <v>290</v>
      </c>
      <c r="O67" s="69" t="s">
        <v>19</v>
      </c>
      <c r="P67" s="69" t="str">
        <f>VLOOKUP(UNIFAEL.[[#This Row],[CURSO]],'[1]POS_VIVO_0112 a 3101_CAMP. REG)'!$F$5:$G$113,2,FALSE)</f>
        <v>Gestão</v>
      </c>
      <c r="Q67" s="68">
        <f>VLOOKUP(UNIFAEL.[[#This Row],[CURSO]],'[1]POS_VIVO_0112 a 3101_CAMP. REG)'!$F$5:$H$113,3,FALSE)</f>
        <v>15</v>
      </c>
      <c r="R67" s="68">
        <f>VLOOKUP(UNIFAEL.[[#This Row],[CURSO]],'[1]POS_VIVO_0112 a 3101_CAMP. REG)'!$F$5:$I$113,4,FALSE)</f>
        <v>19</v>
      </c>
      <c r="S67" s="73">
        <f>VLOOKUP(UNIFAEL.[[#This Row],[CURSO]],'[1]POS_VIVO_0112 a 3101_CAMP. REG)'!$F$5:$J$113,5,FALSE)</f>
        <v>320.59937400000007</v>
      </c>
      <c r="T67" s="124">
        <f>VLOOKUP(UNIFAEL.[[#This Row],[CURSO]],'[1]POS_VIVO_0112 a 3101_CAMP. REG)'!$F$5:$L$113,7,FALSE)</f>
        <v>0.5</v>
      </c>
      <c r="U67" s="71">
        <f>VLOOKUP(UNIFAEL.[[#This Row],[CURSO]],'[1]POS_VIVO_0112 a 3101_CAMP. REG)'!$F$5:$M$113,8,FALSE)</f>
        <v>144.27000000000001</v>
      </c>
      <c r="V67" s="72">
        <f>VLOOKUP(UNIFAEL.[[#This Row],[CURSO]],'[1]POS_VIVO_0112 a 3101_CAMP. REG)'!$F$5:$P$113,11,FALSE)</f>
        <v>0.55000000000000004</v>
      </c>
      <c r="W67" s="73">
        <f>VLOOKUP(UNIFAEL.[[#This Row],[CURSO]],'[1]POS_VIVO_0112 a 3101_CAMP. REG)'!$F$5:$Q$113,12,FALSE)</f>
        <v>129.84</v>
      </c>
      <c r="X67" s="75">
        <f>UNIFAEL.[[#This Row],[Nº Parcelas]]</f>
        <v>19</v>
      </c>
      <c r="Y67" s="75">
        <f>UNIFAEL.[[#This Row],[Nº Parcelas normal2]]-1</f>
        <v>18</v>
      </c>
      <c r="Z67" s="73">
        <f>UNIFAEL.[[#This Row],[$ NORMAL]]</f>
        <v>320.59937400000007</v>
      </c>
      <c r="AA67" s="72">
        <f>UNIFAEL.[[#This Row],[%  SITE]]</f>
        <v>0.5</v>
      </c>
      <c r="AB67" s="73">
        <f>UNIFAEL.[[#This Row],[$ SITE]]</f>
        <v>144.27000000000001</v>
      </c>
      <c r="AC67" s="72">
        <f>UNIFAEL.[[#This Row],[%  SGP]]</f>
        <v>0.55000000000000004</v>
      </c>
      <c r="AD67" s="73">
        <f>UNIFAEL.[[#This Row],[$ SGP]]</f>
        <v>129.84</v>
      </c>
      <c r="AE67" s="69" t="s">
        <v>371</v>
      </c>
      <c r="AF67" s="69" t="s">
        <v>372</v>
      </c>
      <c r="AH67" s="121" t="s">
        <v>290</v>
      </c>
      <c r="AI67" s="69" t="s">
        <v>19</v>
      </c>
      <c r="AJ67" s="69" t="str">
        <f>VLOOKUP(UNAMA.[[#This Row],[PARCELA MATRICULA NÃO PAGA]],'[1]POS_VIVO_0112 a 3101_CAMP. REG)'!$F$115:$G$222,2,FALSE)</f>
        <v>Gestão</v>
      </c>
      <c r="AK67" s="69">
        <f>VLOOKUP(UNAMA.[[#This Row],[PARCELA MATRICULA NÃO PAGA]],'[1]POS_VIVO_0112 a 3101_CAMP. REG)'!$F$115:$H$222,3,FALSE)</f>
        <v>15</v>
      </c>
      <c r="AL67" s="69">
        <f>VLOOKUP(UNAMA.[[#This Row],[PARCELA MATRICULA NÃO PAGA]],'[1]POS_VIVO_0112 a 3101_CAMP. REG)'!$F$115:$I$222,4,FALSE)</f>
        <v>19</v>
      </c>
      <c r="AM67" s="71">
        <f>VLOOKUP(UNAMA.[[#This Row],[PARCELA MATRICULA NÃO PAGA]],'[1]POS_VIVO_0112 a 3101_CAMP. REG)'!$F$115:$J$222,5,FALSE)</f>
        <v>352.66770900000006</v>
      </c>
      <c r="AN67" s="123">
        <f>VLOOKUP(UNAMA.[[#This Row],[PARCELA MATRICULA NÃO PAGA]],'[1]POS_VIVO_0112 a 3101_CAMP. REG)'!$F$115:$L$222,7,FALSE)</f>
        <v>0.5</v>
      </c>
      <c r="AO67" s="73">
        <f>VLOOKUP(UNAMA.[[#This Row],[PARCELA MATRICULA NÃO PAGA]],'[1]POS_VIVO_0112 a 3101_CAMP. REG)'!$F$115:$M$222,8,FALSE)</f>
        <v>158.69999999999999</v>
      </c>
      <c r="AP67" s="72">
        <f>VLOOKUP(UNAMA.[[#This Row],[PARCELA MATRICULA NÃO PAGA]],'[1]POS_VIVO_0112 a 3101_CAMP. REG)'!$F$115:$P$222,11,FALSE)</f>
        <v>0.55000000000000004</v>
      </c>
      <c r="AQ67" s="73">
        <f>VLOOKUP(UNAMA.[[#This Row],[PARCELA MATRICULA NÃO PAGA]],'[1]POS_VIVO_0112 a 3101_CAMP. REG)'!$F$115:$Q$222,12,FALSE)</f>
        <v>142.83000000000001</v>
      </c>
      <c r="AR67" s="68">
        <f>UNAMA.[[#This Row],[Nº Parcelas]]</f>
        <v>19</v>
      </c>
      <c r="AS67" s="68">
        <f>UNAMA.[[#This Row],[Nº Parcelas normal2]]-1</f>
        <v>18</v>
      </c>
      <c r="AT67" s="71">
        <f>UNAMA.[[#This Row],[$ NORMAL]]</f>
        <v>352.66770900000006</v>
      </c>
      <c r="AU67" s="162">
        <f>UNAMA.[[#This Row],[%  SITE]]</f>
        <v>0.5</v>
      </c>
      <c r="AV67" s="161">
        <f>UNAMA.[[#This Row],[$ SITE]]</f>
        <v>158.69999999999999</v>
      </c>
      <c r="AW67" s="162">
        <f>UNAMA.[[#This Row],[%  SGP]]</f>
        <v>0.55000000000000004</v>
      </c>
      <c r="AX67" s="161">
        <f>UNAMA.[[#This Row],[$ SGP]]</f>
        <v>142.83000000000001</v>
      </c>
      <c r="AY67" s="69" t="s">
        <v>351</v>
      </c>
      <c r="AZ67" s="69" t="s">
        <v>372</v>
      </c>
      <c r="BB67" s="121" t="s">
        <v>290</v>
      </c>
      <c r="BC67" s="69" t="s">
        <v>19</v>
      </c>
      <c r="BD67" s="68" t="str">
        <f>VLOOKUP(UNG.[[#This Row],[CURSO]],'[1]POS_VIVO_0112 a 3101_CAMP. REG)'!$F$224:$G$331,2,FALSE)</f>
        <v>Gestão</v>
      </c>
      <c r="BE67" s="70">
        <f>VLOOKUP(UNG.[[#This Row],[CURSO]],'[1]POS_VIVO_0112 a 3101_CAMP. REG)'!$F$224:$H$331,3,FALSE)</f>
        <v>15</v>
      </c>
      <c r="BF67" s="70">
        <f>VLOOKUP(UNG.[[#This Row],[CURSO]],'[1]POS_VIVO_0112 a 3101_CAMP. REG)'!$F$224:$I$331,4,FALSE)</f>
        <v>19</v>
      </c>
      <c r="BG67" s="73">
        <f>VLOOKUP(UNG.[[#This Row],[CURSO]],'[1]POS_VIVO_0112 a 3101_CAMP. REG)'!$F$224:$J$331,5,FALSE)</f>
        <v>320.59937400000007</v>
      </c>
      <c r="BH67" s="72">
        <f>VLOOKUP(UNG.[[#This Row],[CURSO]],'[1]POS_VIVO_0112 a 3101_CAMP. REG)'!$F$224:$L$331,7,FALSE)</f>
        <v>0.5</v>
      </c>
      <c r="BI67" s="73">
        <f>VLOOKUP(UNG.[[#This Row],[CURSO]],'[1]POS_VIVO_0112 a 3101_CAMP. REG)'!$F$224:$M$331,8,FALSE)</f>
        <v>144.27000000000001</v>
      </c>
      <c r="BJ67" s="72">
        <f>VLOOKUP(UNG.[[#This Row],[CURSO]],'[1]POS_VIVO_0112 a 3101_CAMP. REG)'!$F$224:$P$331,11,FALSE)</f>
        <v>0.55000000000000004</v>
      </c>
      <c r="BK67" s="73">
        <f>VLOOKUP(UNG.[[#This Row],[CURSO]],'[1]POS_VIVO_0112 a 3101_CAMP. REG)'!$F$224:$Q$331,12,FALSE)</f>
        <v>129.84</v>
      </c>
      <c r="BL67" s="75">
        <f>UNG.[[#This Row],[Nº Parcelas]]</f>
        <v>19</v>
      </c>
      <c r="BM67" s="75">
        <f>UNG.[[#This Row],[Nº Parcelas normal2]]-1</f>
        <v>18</v>
      </c>
      <c r="BN67" s="73">
        <f>UNG.[[#This Row],[$ NORMAL]]</f>
        <v>320.59937400000007</v>
      </c>
      <c r="BO67" s="72">
        <f>UNG.[[#This Row],[%  SITE]]</f>
        <v>0.5</v>
      </c>
      <c r="BP67" s="73">
        <f>UNG.[[#This Row],[$ SITE]]</f>
        <v>144.27000000000001</v>
      </c>
      <c r="BQ67" s="72">
        <f>UNG.[[#This Row],[%  SGP]]</f>
        <v>0.55000000000000004</v>
      </c>
      <c r="BR67" s="73">
        <f>UNG.[[#This Row],[$ SGP]]</f>
        <v>129.84</v>
      </c>
      <c r="BS67" s="69" t="s">
        <v>351</v>
      </c>
      <c r="BT67" s="69" t="s">
        <v>372</v>
      </c>
      <c r="BV67" s="121" t="s">
        <v>290</v>
      </c>
      <c r="BW67" s="69" t="s">
        <v>19</v>
      </c>
      <c r="BX67" s="69" t="str">
        <f>VLOOKUP(UNINASSAU.[[#This Row],[CURSO]],'[1]POS_VIVO_0112 a 3101_CAMP. REG)'!$F$333:$G$447,2,FALSE)</f>
        <v>Gestão</v>
      </c>
      <c r="BY67" s="68">
        <f>VLOOKUP(UNINASSAU.[[#This Row],[CURSO]],'[1]POS_VIVO_0112 a 3101_CAMP. REG)'!$F$333:$H$447,3,FALSE)</f>
        <v>15</v>
      </c>
      <c r="BZ67" s="68">
        <f>VLOOKUP(UNINASSAU.[[#This Row],[CURSO]],'[1]POS_VIVO_0112 a 3101_CAMP. REG)'!$F$333:$I$447,4,FALSE)</f>
        <v>19</v>
      </c>
      <c r="CA67" s="73">
        <f>VLOOKUP(UNINASSAU.[[#This Row],[CURSO]],'[1]POS_VIVO_0112 a 3101_CAMP. REG)'!$F$333:$J$447,5,FALSE)</f>
        <v>320.59937400000007</v>
      </c>
      <c r="CB67" s="72">
        <f>VLOOKUP(UNINASSAU.[[#This Row],[CURSO]],'[1]POS_VIVO_0112 a 3101_CAMP. REG)'!$F$333:$L$447,7,FALSE)</f>
        <v>0.5</v>
      </c>
      <c r="CC67" s="73">
        <f>VLOOKUP(UNINASSAU.[[#This Row],[CURSO]],'[1]POS_VIVO_0112 a 3101_CAMP. REG)'!$F$333:$M$447,8,FALSE)</f>
        <v>144.27000000000001</v>
      </c>
      <c r="CD67" s="72">
        <f>VLOOKUP(UNINASSAU.[[#This Row],[CURSO]],'[1]POS_VIVO_0112 a 3101_CAMP. REG)'!$F$333:$P$447,11,FALSE)</f>
        <v>0.55000000000000004</v>
      </c>
      <c r="CE67" s="73">
        <f>VLOOKUP(UNINASSAU.[[#This Row],[CURSO]],'[1]POS_VIVO_0112 a 3101_CAMP. REG)'!$F$333:$Q$447,12,FALSE)</f>
        <v>129.84</v>
      </c>
      <c r="CF67" s="75">
        <f>UNINASSAU.[[#This Row],[Nº Parcelas]]</f>
        <v>19</v>
      </c>
      <c r="CG67" s="75">
        <f>UNINASSAU.[[#This Row],[Nº Parcelas normal2]]-1</f>
        <v>18</v>
      </c>
      <c r="CH67" s="73">
        <f>UNINASSAU.[[#This Row],[$ NORMAL]]</f>
        <v>320.59937400000007</v>
      </c>
      <c r="CI67" s="72">
        <f>UNINASSAU.[[#This Row],[%  SITE]]</f>
        <v>0.5</v>
      </c>
      <c r="CJ67" s="73">
        <f>UNINASSAU.[[#This Row],[$ SITE]]</f>
        <v>144.27000000000001</v>
      </c>
      <c r="CK67" s="72">
        <f>UNINASSAU.[[#This Row],[%  SGP]]</f>
        <v>0.55000000000000004</v>
      </c>
      <c r="CL67" s="73">
        <f>UNINASSAU.[[#This Row],[$ SGP]]</f>
        <v>129.84</v>
      </c>
      <c r="CM67" s="69" t="s">
        <v>351</v>
      </c>
      <c r="CN67" s="69" t="s">
        <v>372</v>
      </c>
      <c r="CP67" s="104">
        <v>64</v>
      </c>
      <c r="CQ67" s="121" t="s">
        <v>319</v>
      </c>
    </row>
    <row r="68" spans="14:95" ht="16.5" customHeight="1" x14ac:dyDescent="0.25">
      <c r="N68" s="121" t="s">
        <v>160</v>
      </c>
      <c r="O68" s="69" t="s">
        <v>19</v>
      </c>
      <c r="P68" s="69" t="str">
        <f>VLOOKUP(UNIFAEL.[[#This Row],[CURSO]],'[1]POS_VIVO_0112 a 3101_CAMP. REG)'!$F$5:$G$113,2,FALSE)</f>
        <v>Saúde</v>
      </c>
      <c r="Q68" s="68">
        <f>VLOOKUP(UNIFAEL.[[#This Row],[CURSO]],'[1]POS_VIVO_0112 a 3101_CAMP. REG)'!$F$5:$H$113,3,FALSE)</f>
        <v>12</v>
      </c>
      <c r="R68" s="68">
        <f>VLOOKUP(UNIFAEL.[[#This Row],[CURSO]],'[1]POS_VIVO_0112 a 3101_CAMP. REG)'!$F$5:$I$113,4,FALSE)</f>
        <v>19</v>
      </c>
      <c r="S68" s="73">
        <f>VLOOKUP(UNIFAEL.[[#This Row],[CURSO]],'[1]POS_VIVO_0112 a 3101_CAMP. REG)'!$F$5:$J$113,5,FALSE)</f>
        <v>291.43870800000002</v>
      </c>
      <c r="T68" s="124">
        <f>VLOOKUP(UNIFAEL.[[#This Row],[CURSO]],'[1]POS_VIVO_0112 a 3101_CAMP. REG)'!$F$5:$L$113,7,FALSE)</f>
        <v>0.4</v>
      </c>
      <c r="U68" s="71">
        <f>VLOOKUP(UNIFAEL.[[#This Row],[CURSO]],'[1]POS_VIVO_0112 a 3101_CAMP. REG)'!$F$5:$M$113,8,FALSE)</f>
        <v>157.38</v>
      </c>
      <c r="V68" s="72">
        <f>VLOOKUP(UNIFAEL.[[#This Row],[CURSO]],'[1]POS_VIVO_0112 a 3101_CAMP. REG)'!$F$5:$P$113,11,FALSE)</f>
        <v>0.45</v>
      </c>
      <c r="W68" s="73">
        <f>VLOOKUP(UNIFAEL.[[#This Row],[CURSO]],'[1]POS_VIVO_0112 a 3101_CAMP. REG)'!$F$5:$Q$113,12,FALSE)</f>
        <v>144.26</v>
      </c>
      <c r="X68" s="75">
        <f>UNIFAEL.[[#This Row],[Nº Parcelas]]</f>
        <v>19</v>
      </c>
      <c r="Y68" s="75">
        <f>UNIFAEL.[[#This Row],[Nº Parcelas normal2]]-1</f>
        <v>18</v>
      </c>
      <c r="Z68" s="73">
        <f>UNIFAEL.[[#This Row],[$ NORMAL]]</f>
        <v>291.43870800000002</v>
      </c>
      <c r="AA68" s="72">
        <f>UNIFAEL.[[#This Row],[%  SITE]]</f>
        <v>0.4</v>
      </c>
      <c r="AB68" s="73">
        <f>UNIFAEL.[[#This Row],[$ SITE]]</f>
        <v>157.38</v>
      </c>
      <c r="AC68" s="72">
        <f>UNIFAEL.[[#This Row],[%  SGP]]</f>
        <v>0.45</v>
      </c>
      <c r="AD68" s="73">
        <f>UNIFAEL.[[#This Row],[$ SGP]]</f>
        <v>144.26</v>
      </c>
      <c r="AE68" s="69" t="s">
        <v>371</v>
      </c>
      <c r="AF68" s="69" t="s">
        <v>372</v>
      </c>
      <c r="AH68" s="121" t="s">
        <v>160</v>
      </c>
      <c r="AI68" s="69" t="s">
        <v>19</v>
      </c>
      <c r="AJ68" s="69" t="str">
        <f>VLOOKUP(UNAMA.[[#This Row],[PARCELA MATRICULA NÃO PAGA]],'[1]POS_VIVO_0112 a 3101_CAMP. REG)'!$F$115:$G$222,2,FALSE)</f>
        <v>Saúde</v>
      </c>
      <c r="AK68" s="69">
        <f>VLOOKUP(UNAMA.[[#This Row],[PARCELA MATRICULA NÃO PAGA]],'[1]POS_VIVO_0112 a 3101_CAMP. REG)'!$F$115:$H$222,3,FALSE)</f>
        <v>12</v>
      </c>
      <c r="AL68" s="69">
        <f>VLOOKUP(UNAMA.[[#This Row],[PARCELA MATRICULA NÃO PAGA]],'[1]POS_VIVO_0112 a 3101_CAMP. REG)'!$F$115:$I$222,4,FALSE)</f>
        <v>19</v>
      </c>
      <c r="AM68" s="71">
        <f>VLOOKUP(UNAMA.[[#This Row],[PARCELA MATRICULA NÃO PAGA]],'[1]POS_VIVO_0112 a 3101_CAMP. REG)'!$F$115:$J$222,5,FALSE)</f>
        <v>320.59937400000007</v>
      </c>
      <c r="AN68" s="123">
        <f>VLOOKUP(UNAMA.[[#This Row],[PARCELA MATRICULA NÃO PAGA]],'[1]POS_VIVO_0112 a 3101_CAMP. REG)'!$F$115:$L$222,7,FALSE)</f>
        <v>0.4</v>
      </c>
      <c r="AO68" s="73">
        <f>VLOOKUP(UNAMA.[[#This Row],[PARCELA MATRICULA NÃO PAGA]],'[1]POS_VIVO_0112 a 3101_CAMP. REG)'!$F$115:$M$222,8,FALSE)</f>
        <v>173.12</v>
      </c>
      <c r="AP68" s="72">
        <f>VLOOKUP(UNAMA.[[#This Row],[PARCELA MATRICULA NÃO PAGA]],'[1]POS_VIVO_0112 a 3101_CAMP. REG)'!$F$115:$P$222,11,FALSE)</f>
        <v>0.45</v>
      </c>
      <c r="AQ68" s="73">
        <f>VLOOKUP(UNAMA.[[#This Row],[PARCELA MATRICULA NÃO PAGA]],'[1]POS_VIVO_0112 a 3101_CAMP. REG)'!$F$115:$Q$222,12,FALSE)</f>
        <v>158.69999999999999</v>
      </c>
      <c r="AR68" s="68">
        <f>UNAMA.[[#This Row],[Nº Parcelas]]</f>
        <v>19</v>
      </c>
      <c r="AS68" s="68">
        <f>UNAMA.[[#This Row],[Nº Parcelas normal2]]-1</f>
        <v>18</v>
      </c>
      <c r="AT68" s="71">
        <f>UNAMA.[[#This Row],[$ NORMAL]]</f>
        <v>320.59937400000007</v>
      </c>
      <c r="AU68" s="162">
        <f>UNAMA.[[#This Row],[%  SITE]]</f>
        <v>0.4</v>
      </c>
      <c r="AV68" s="161">
        <f>UNAMA.[[#This Row],[$ SITE]]</f>
        <v>173.12</v>
      </c>
      <c r="AW68" s="162">
        <f>UNAMA.[[#This Row],[%  SGP]]</f>
        <v>0.45</v>
      </c>
      <c r="AX68" s="161">
        <f>UNAMA.[[#This Row],[$ SGP]]</f>
        <v>158.69999999999999</v>
      </c>
      <c r="AY68" s="69" t="s">
        <v>351</v>
      </c>
      <c r="AZ68" s="69" t="s">
        <v>372</v>
      </c>
      <c r="BB68" s="121" t="s">
        <v>160</v>
      </c>
      <c r="BC68" s="69" t="s">
        <v>19</v>
      </c>
      <c r="BD68" s="68" t="str">
        <f>VLOOKUP(UNG.[[#This Row],[CURSO]],'[1]POS_VIVO_0112 a 3101_CAMP. REG)'!$F$224:$G$331,2,FALSE)</f>
        <v>Saúde</v>
      </c>
      <c r="BE68" s="70">
        <f>VLOOKUP(UNG.[[#This Row],[CURSO]],'[1]POS_VIVO_0112 a 3101_CAMP. REG)'!$F$224:$H$331,3,FALSE)</f>
        <v>12</v>
      </c>
      <c r="BF68" s="70">
        <f>VLOOKUP(UNG.[[#This Row],[CURSO]],'[1]POS_VIVO_0112 a 3101_CAMP. REG)'!$F$224:$I$331,4,FALSE)</f>
        <v>19</v>
      </c>
      <c r="BG68" s="73">
        <f>VLOOKUP(UNG.[[#This Row],[CURSO]],'[1]POS_VIVO_0112 a 3101_CAMP. REG)'!$F$224:$J$331,5,FALSE)</f>
        <v>291.43870800000002</v>
      </c>
      <c r="BH68" s="72">
        <f>VLOOKUP(UNG.[[#This Row],[CURSO]],'[1]POS_VIVO_0112 a 3101_CAMP. REG)'!$F$224:$L$331,7,FALSE)</f>
        <v>0.4</v>
      </c>
      <c r="BI68" s="73">
        <f>VLOOKUP(UNG.[[#This Row],[CURSO]],'[1]POS_VIVO_0112 a 3101_CAMP. REG)'!$F$224:$M$331,8,FALSE)</f>
        <v>157.38</v>
      </c>
      <c r="BJ68" s="72">
        <f>VLOOKUP(UNG.[[#This Row],[CURSO]],'[1]POS_VIVO_0112 a 3101_CAMP. REG)'!$F$224:$P$331,11,FALSE)</f>
        <v>0.45</v>
      </c>
      <c r="BK68" s="73">
        <f>VLOOKUP(UNG.[[#This Row],[CURSO]],'[1]POS_VIVO_0112 a 3101_CAMP. REG)'!$F$224:$Q$331,12,FALSE)</f>
        <v>144.26</v>
      </c>
      <c r="BL68" s="75">
        <f>UNG.[[#This Row],[Nº Parcelas]]</f>
        <v>19</v>
      </c>
      <c r="BM68" s="75">
        <f>UNG.[[#This Row],[Nº Parcelas normal2]]-1</f>
        <v>18</v>
      </c>
      <c r="BN68" s="73">
        <f>UNG.[[#This Row],[$ NORMAL]]</f>
        <v>291.43870800000002</v>
      </c>
      <c r="BO68" s="72">
        <f>UNG.[[#This Row],[%  SITE]]</f>
        <v>0.4</v>
      </c>
      <c r="BP68" s="73">
        <f>UNG.[[#This Row],[$ SITE]]</f>
        <v>157.38</v>
      </c>
      <c r="BQ68" s="72">
        <f>UNG.[[#This Row],[%  SGP]]</f>
        <v>0.45</v>
      </c>
      <c r="BR68" s="73">
        <f>UNG.[[#This Row],[$ SGP]]</f>
        <v>144.26</v>
      </c>
      <c r="BS68" s="69" t="s">
        <v>351</v>
      </c>
      <c r="BT68" s="69" t="s">
        <v>372</v>
      </c>
      <c r="BV68" s="121" t="s">
        <v>160</v>
      </c>
      <c r="BW68" s="69" t="s">
        <v>19</v>
      </c>
      <c r="BX68" s="69" t="str">
        <f>VLOOKUP(UNINASSAU.[[#This Row],[CURSO]],'[1]POS_VIVO_0112 a 3101_CAMP. REG)'!$F$333:$G$447,2,FALSE)</f>
        <v>Saúde</v>
      </c>
      <c r="BY68" s="68">
        <f>VLOOKUP(UNINASSAU.[[#This Row],[CURSO]],'[1]POS_VIVO_0112 a 3101_CAMP. REG)'!$F$333:$H$447,3,FALSE)</f>
        <v>12</v>
      </c>
      <c r="BZ68" s="68">
        <f>VLOOKUP(UNINASSAU.[[#This Row],[CURSO]],'[1]POS_VIVO_0112 a 3101_CAMP. REG)'!$F$333:$I$447,4,FALSE)</f>
        <v>19</v>
      </c>
      <c r="CA68" s="73">
        <f>VLOOKUP(UNINASSAU.[[#This Row],[CURSO]],'[1]POS_VIVO_0112 a 3101_CAMP. REG)'!$F$333:$J$447,5,FALSE)</f>
        <v>291.43870800000002</v>
      </c>
      <c r="CB68" s="72">
        <f>VLOOKUP(UNINASSAU.[[#This Row],[CURSO]],'[1]POS_VIVO_0112 a 3101_CAMP. REG)'!$F$333:$L$447,7,FALSE)</f>
        <v>0.4</v>
      </c>
      <c r="CC68" s="73">
        <f>VLOOKUP(UNINASSAU.[[#This Row],[CURSO]],'[1]POS_VIVO_0112 a 3101_CAMP. REG)'!$F$333:$M$447,8,FALSE)</f>
        <v>157.38</v>
      </c>
      <c r="CD68" s="72">
        <f>VLOOKUP(UNINASSAU.[[#This Row],[CURSO]],'[1]POS_VIVO_0112 a 3101_CAMP. REG)'!$F$333:$P$447,11,FALSE)</f>
        <v>0.45</v>
      </c>
      <c r="CE68" s="73">
        <f>VLOOKUP(UNINASSAU.[[#This Row],[CURSO]],'[1]POS_VIVO_0112 a 3101_CAMP. REG)'!$F$333:$Q$447,12,FALSE)</f>
        <v>144.26</v>
      </c>
      <c r="CF68" s="75">
        <f>UNINASSAU.[[#This Row],[Nº Parcelas]]</f>
        <v>19</v>
      </c>
      <c r="CG68" s="75">
        <f>UNINASSAU.[[#This Row],[Nº Parcelas normal2]]-1</f>
        <v>18</v>
      </c>
      <c r="CH68" s="73">
        <f>UNINASSAU.[[#This Row],[$ NORMAL]]</f>
        <v>291.43870800000002</v>
      </c>
      <c r="CI68" s="72">
        <f>UNINASSAU.[[#This Row],[%  SITE]]</f>
        <v>0.4</v>
      </c>
      <c r="CJ68" s="73">
        <f>UNINASSAU.[[#This Row],[$ SITE]]</f>
        <v>157.38</v>
      </c>
      <c r="CK68" s="72">
        <f>UNINASSAU.[[#This Row],[%  SGP]]</f>
        <v>0.45</v>
      </c>
      <c r="CL68" s="73">
        <f>UNINASSAU.[[#This Row],[$ SGP]]</f>
        <v>144.26</v>
      </c>
      <c r="CM68" s="69" t="s">
        <v>351</v>
      </c>
      <c r="CN68" s="69" t="s">
        <v>372</v>
      </c>
      <c r="CP68" s="104">
        <v>65</v>
      </c>
      <c r="CQ68" s="121" t="s">
        <v>155</v>
      </c>
    </row>
    <row r="69" spans="14:95" ht="16.5" customHeight="1" x14ac:dyDescent="0.25">
      <c r="N69" s="121" t="s">
        <v>66</v>
      </c>
      <c r="O69" s="69" t="s">
        <v>19</v>
      </c>
      <c r="P69" s="69" t="str">
        <f>VLOOKUP(UNIFAEL.[[#This Row],[CURSO]],'[1]POS_VIVO_0112 a 3101_CAMP. REG)'!$F$5:$G$113,2,FALSE)</f>
        <v>Direito</v>
      </c>
      <c r="Q69" s="68">
        <f>VLOOKUP(UNIFAEL.[[#This Row],[CURSO]],'[1]POS_VIVO_0112 a 3101_CAMP. REG)'!$F$5:$H$113,3,FALSE)</f>
        <v>12</v>
      </c>
      <c r="R69" s="68">
        <f>VLOOKUP(UNIFAEL.[[#This Row],[CURSO]],'[1]POS_VIVO_0112 a 3101_CAMP. REG)'!$F$5:$I$113,4,FALSE)</f>
        <v>19</v>
      </c>
      <c r="S69" s="73">
        <f>VLOOKUP(UNIFAEL.[[#This Row],[CURSO]],'[1]POS_VIVO_0112 a 3101_CAMP. REG)'!$F$5:$J$113,5,FALSE)</f>
        <v>262.27804200000003</v>
      </c>
      <c r="T69" s="124">
        <f>VLOOKUP(UNIFAEL.[[#This Row],[CURSO]],'[1]POS_VIVO_0112 a 3101_CAMP. REG)'!$F$5:$L$113,7,FALSE)</f>
        <v>0.4</v>
      </c>
      <c r="U69" s="71">
        <f>VLOOKUP(UNIFAEL.[[#This Row],[CURSO]],'[1]POS_VIVO_0112 a 3101_CAMP. REG)'!$F$5:$M$113,8,FALSE)</f>
        <v>141.63</v>
      </c>
      <c r="V69" s="72">
        <f>VLOOKUP(UNIFAEL.[[#This Row],[CURSO]],'[1]POS_VIVO_0112 a 3101_CAMP. REG)'!$F$5:$P$113,11,FALSE)</f>
        <v>0.45</v>
      </c>
      <c r="W69" s="73">
        <f>VLOOKUP(UNIFAEL.[[#This Row],[CURSO]],'[1]POS_VIVO_0112 a 3101_CAMP. REG)'!$F$5:$Q$113,12,FALSE)</f>
        <v>129.83000000000001</v>
      </c>
      <c r="X69" s="75">
        <f>UNIFAEL.[[#This Row],[Nº Parcelas]]</f>
        <v>19</v>
      </c>
      <c r="Y69" s="75">
        <f>UNIFAEL.[[#This Row],[Nº Parcelas normal2]]-1</f>
        <v>18</v>
      </c>
      <c r="Z69" s="73">
        <f>UNIFAEL.[[#This Row],[$ NORMAL]]</f>
        <v>262.27804200000003</v>
      </c>
      <c r="AA69" s="72">
        <f>UNIFAEL.[[#This Row],[%  SITE]]</f>
        <v>0.4</v>
      </c>
      <c r="AB69" s="73">
        <f>UNIFAEL.[[#This Row],[$ SITE]]</f>
        <v>141.63</v>
      </c>
      <c r="AC69" s="72">
        <f>UNIFAEL.[[#This Row],[%  SGP]]</f>
        <v>0.45</v>
      </c>
      <c r="AD69" s="73">
        <f>UNIFAEL.[[#This Row],[$ SGP]]</f>
        <v>129.83000000000001</v>
      </c>
      <c r="AE69" s="69" t="s">
        <v>371</v>
      </c>
      <c r="AF69" s="69" t="s">
        <v>372</v>
      </c>
      <c r="AH69" s="121" t="s">
        <v>66</v>
      </c>
      <c r="AI69" s="69" t="s">
        <v>19</v>
      </c>
      <c r="AJ69" s="69" t="str">
        <f>VLOOKUP(UNAMA.[[#This Row],[PARCELA MATRICULA NÃO PAGA]],'[1]POS_VIVO_0112 a 3101_CAMP. REG)'!$F$115:$G$222,2,FALSE)</f>
        <v>Direito</v>
      </c>
      <c r="AK69" s="69">
        <f>VLOOKUP(UNAMA.[[#This Row],[PARCELA MATRICULA NÃO PAGA]],'[1]POS_VIVO_0112 a 3101_CAMP. REG)'!$F$115:$H$222,3,FALSE)</f>
        <v>12</v>
      </c>
      <c r="AL69" s="69">
        <f>VLOOKUP(UNAMA.[[#This Row],[PARCELA MATRICULA NÃO PAGA]],'[1]POS_VIVO_0112 a 3101_CAMP. REG)'!$F$115:$I$222,4,FALSE)</f>
        <v>19</v>
      </c>
      <c r="AM69" s="71">
        <f>VLOOKUP(UNAMA.[[#This Row],[PARCELA MATRICULA NÃO PAGA]],'[1]POS_VIVO_0112 a 3101_CAMP. REG)'!$F$115:$J$222,5,FALSE)</f>
        <v>291.43870800000002</v>
      </c>
      <c r="AN69" s="123">
        <f>VLOOKUP(UNAMA.[[#This Row],[PARCELA MATRICULA NÃO PAGA]],'[1]POS_VIVO_0112 a 3101_CAMP. REG)'!$F$115:$L$222,7,FALSE)</f>
        <v>0.4</v>
      </c>
      <c r="AO69" s="73">
        <f>VLOOKUP(UNAMA.[[#This Row],[PARCELA MATRICULA NÃO PAGA]],'[1]POS_VIVO_0112 a 3101_CAMP. REG)'!$F$115:$M$222,8,FALSE)</f>
        <v>157.38</v>
      </c>
      <c r="AP69" s="72">
        <f>VLOOKUP(UNAMA.[[#This Row],[PARCELA MATRICULA NÃO PAGA]],'[1]POS_VIVO_0112 a 3101_CAMP. REG)'!$F$115:$P$222,11,FALSE)</f>
        <v>0.45</v>
      </c>
      <c r="AQ69" s="73">
        <f>VLOOKUP(UNAMA.[[#This Row],[PARCELA MATRICULA NÃO PAGA]],'[1]POS_VIVO_0112 a 3101_CAMP. REG)'!$F$115:$Q$222,12,FALSE)</f>
        <v>144.26</v>
      </c>
      <c r="AR69" s="68">
        <f>UNAMA.[[#This Row],[Nº Parcelas]]</f>
        <v>19</v>
      </c>
      <c r="AS69" s="68">
        <f>UNAMA.[[#This Row],[Nº Parcelas normal2]]-1</f>
        <v>18</v>
      </c>
      <c r="AT69" s="71">
        <f>UNAMA.[[#This Row],[$ NORMAL]]</f>
        <v>291.43870800000002</v>
      </c>
      <c r="AU69" s="162">
        <f>UNAMA.[[#This Row],[%  SITE]]</f>
        <v>0.4</v>
      </c>
      <c r="AV69" s="161">
        <f>UNAMA.[[#This Row],[$ SITE]]</f>
        <v>157.38</v>
      </c>
      <c r="AW69" s="162">
        <f>UNAMA.[[#This Row],[%  SGP]]</f>
        <v>0.45</v>
      </c>
      <c r="AX69" s="161">
        <f>UNAMA.[[#This Row],[$ SGP]]</f>
        <v>144.26</v>
      </c>
      <c r="AY69" s="69" t="s">
        <v>351</v>
      </c>
      <c r="AZ69" s="69" t="s">
        <v>372</v>
      </c>
      <c r="BB69" s="121" t="s">
        <v>66</v>
      </c>
      <c r="BC69" s="69" t="s">
        <v>19</v>
      </c>
      <c r="BD69" s="68" t="str">
        <f>VLOOKUP(UNG.[[#This Row],[CURSO]],'[1]POS_VIVO_0112 a 3101_CAMP. REG)'!$F$224:$G$331,2,FALSE)</f>
        <v>Direito</v>
      </c>
      <c r="BE69" s="70">
        <f>VLOOKUP(UNG.[[#This Row],[CURSO]],'[1]POS_VIVO_0112 a 3101_CAMP. REG)'!$F$224:$H$331,3,FALSE)</f>
        <v>12</v>
      </c>
      <c r="BF69" s="70">
        <f>VLOOKUP(UNG.[[#This Row],[CURSO]],'[1]POS_VIVO_0112 a 3101_CAMP. REG)'!$F$224:$I$331,4,FALSE)</f>
        <v>19</v>
      </c>
      <c r="BG69" s="73">
        <f>VLOOKUP(UNG.[[#This Row],[CURSO]],'[1]POS_VIVO_0112 a 3101_CAMP. REG)'!$F$224:$J$331,5,FALSE)</f>
        <v>262.27804200000003</v>
      </c>
      <c r="BH69" s="72">
        <f>VLOOKUP(UNG.[[#This Row],[CURSO]],'[1]POS_VIVO_0112 a 3101_CAMP. REG)'!$F$224:$L$331,7,FALSE)</f>
        <v>0.4</v>
      </c>
      <c r="BI69" s="73">
        <f>VLOOKUP(UNG.[[#This Row],[CURSO]],'[1]POS_VIVO_0112 a 3101_CAMP. REG)'!$F$224:$M$331,8,FALSE)</f>
        <v>141.63</v>
      </c>
      <c r="BJ69" s="72">
        <f>VLOOKUP(UNG.[[#This Row],[CURSO]],'[1]POS_VIVO_0112 a 3101_CAMP. REG)'!$F$224:$P$331,11,FALSE)</f>
        <v>0.45</v>
      </c>
      <c r="BK69" s="73">
        <f>VLOOKUP(UNG.[[#This Row],[CURSO]],'[1]POS_VIVO_0112 a 3101_CAMP. REG)'!$F$224:$Q$331,12,FALSE)</f>
        <v>129.83000000000001</v>
      </c>
      <c r="BL69" s="75">
        <f>UNG.[[#This Row],[Nº Parcelas]]</f>
        <v>19</v>
      </c>
      <c r="BM69" s="75">
        <f>UNG.[[#This Row],[Nº Parcelas normal2]]-1</f>
        <v>18</v>
      </c>
      <c r="BN69" s="73">
        <f>UNG.[[#This Row],[$ NORMAL]]</f>
        <v>262.27804200000003</v>
      </c>
      <c r="BO69" s="72">
        <f>UNG.[[#This Row],[%  SITE]]</f>
        <v>0.4</v>
      </c>
      <c r="BP69" s="73">
        <f>UNG.[[#This Row],[$ SITE]]</f>
        <v>141.63</v>
      </c>
      <c r="BQ69" s="72">
        <f>UNG.[[#This Row],[%  SGP]]</f>
        <v>0.45</v>
      </c>
      <c r="BR69" s="73">
        <f>UNG.[[#This Row],[$ SGP]]</f>
        <v>129.83000000000001</v>
      </c>
      <c r="BS69" s="69" t="s">
        <v>351</v>
      </c>
      <c r="BT69" s="69" t="s">
        <v>372</v>
      </c>
      <c r="BV69" s="121" t="s">
        <v>66</v>
      </c>
      <c r="BW69" s="69" t="s">
        <v>19</v>
      </c>
      <c r="BX69" s="69" t="str">
        <f>VLOOKUP(UNINASSAU.[[#This Row],[CURSO]],'[1]POS_VIVO_0112 a 3101_CAMP. REG)'!$F$333:$G$447,2,FALSE)</f>
        <v>Direito</v>
      </c>
      <c r="BY69" s="68">
        <f>VLOOKUP(UNINASSAU.[[#This Row],[CURSO]],'[1]POS_VIVO_0112 a 3101_CAMP. REG)'!$F$333:$H$447,3,FALSE)</f>
        <v>12</v>
      </c>
      <c r="BZ69" s="68">
        <f>VLOOKUP(UNINASSAU.[[#This Row],[CURSO]],'[1]POS_VIVO_0112 a 3101_CAMP. REG)'!$F$333:$I$447,4,FALSE)</f>
        <v>19</v>
      </c>
      <c r="CA69" s="73">
        <f>VLOOKUP(UNINASSAU.[[#This Row],[CURSO]],'[1]POS_VIVO_0112 a 3101_CAMP. REG)'!$F$333:$J$447,5,FALSE)</f>
        <v>262.27804200000003</v>
      </c>
      <c r="CB69" s="72">
        <f>VLOOKUP(UNINASSAU.[[#This Row],[CURSO]],'[1]POS_VIVO_0112 a 3101_CAMP. REG)'!$F$333:$L$447,7,FALSE)</f>
        <v>0.4</v>
      </c>
      <c r="CC69" s="73">
        <f>VLOOKUP(UNINASSAU.[[#This Row],[CURSO]],'[1]POS_VIVO_0112 a 3101_CAMP. REG)'!$F$333:$M$447,8,FALSE)</f>
        <v>141.63</v>
      </c>
      <c r="CD69" s="72">
        <f>VLOOKUP(UNINASSAU.[[#This Row],[CURSO]],'[1]POS_VIVO_0112 a 3101_CAMP. REG)'!$F$333:$P$447,11,FALSE)</f>
        <v>0.45</v>
      </c>
      <c r="CE69" s="73">
        <f>VLOOKUP(UNINASSAU.[[#This Row],[CURSO]],'[1]POS_VIVO_0112 a 3101_CAMP. REG)'!$F$333:$Q$447,12,FALSE)</f>
        <v>129.83000000000001</v>
      </c>
      <c r="CF69" s="75">
        <f>UNINASSAU.[[#This Row],[Nº Parcelas]]</f>
        <v>19</v>
      </c>
      <c r="CG69" s="75">
        <f>UNINASSAU.[[#This Row],[Nº Parcelas normal2]]-1</f>
        <v>18</v>
      </c>
      <c r="CH69" s="73">
        <f>UNINASSAU.[[#This Row],[$ NORMAL]]</f>
        <v>262.27804200000003</v>
      </c>
      <c r="CI69" s="72">
        <f>UNINASSAU.[[#This Row],[%  SITE]]</f>
        <v>0.4</v>
      </c>
      <c r="CJ69" s="73">
        <f>UNINASSAU.[[#This Row],[$ SITE]]</f>
        <v>141.63</v>
      </c>
      <c r="CK69" s="72">
        <f>UNINASSAU.[[#This Row],[%  SGP]]</f>
        <v>0.45</v>
      </c>
      <c r="CL69" s="73">
        <f>UNINASSAU.[[#This Row],[$ SGP]]</f>
        <v>129.83000000000001</v>
      </c>
      <c r="CM69" s="69" t="s">
        <v>351</v>
      </c>
      <c r="CN69" s="69" t="s">
        <v>372</v>
      </c>
      <c r="CP69" s="104">
        <v>66</v>
      </c>
      <c r="CQ69" s="121" t="s">
        <v>329</v>
      </c>
    </row>
    <row r="70" spans="14:95" ht="16.5" customHeight="1" x14ac:dyDescent="0.25">
      <c r="N70" s="121" t="s">
        <v>279</v>
      </c>
      <c r="O70" s="69" t="s">
        <v>19</v>
      </c>
      <c r="P70" s="69" t="str">
        <f>VLOOKUP(UNIFAEL.[[#This Row],[CURSO]],'[1]POS_VIVO_0112 a 3101_CAMP. REG)'!$F$5:$G$113,2,FALSE)</f>
        <v>Gestão</v>
      </c>
      <c r="Q70" s="68">
        <f>VLOOKUP(UNIFAEL.[[#This Row],[CURSO]],'[1]POS_VIVO_0112 a 3101_CAMP. REG)'!$F$5:$H$113,3,FALSE)</f>
        <v>15</v>
      </c>
      <c r="R70" s="68">
        <f>VLOOKUP(UNIFAEL.[[#This Row],[CURSO]],'[1]POS_VIVO_0112 a 3101_CAMP. REG)'!$F$5:$I$113,4,FALSE)</f>
        <v>19</v>
      </c>
      <c r="S70" s="73">
        <f>VLOOKUP(UNIFAEL.[[#This Row],[CURSO]],'[1]POS_VIVO_0112 a 3101_CAMP. REG)'!$F$5:$J$113,5,FALSE)</f>
        <v>320.59937400000007</v>
      </c>
      <c r="T70" s="124">
        <f>VLOOKUP(UNIFAEL.[[#This Row],[CURSO]],'[1]POS_VIVO_0112 a 3101_CAMP. REG)'!$F$5:$L$113,7,FALSE)</f>
        <v>0.5</v>
      </c>
      <c r="U70" s="71">
        <f>VLOOKUP(UNIFAEL.[[#This Row],[CURSO]],'[1]POS_VIVO_0112 a 3101_CAMP. REG)'!$F$5:$M$113,8,FALSE)</f>
        <v>144.27000000000001</v>
      </c>
      <c r="V70" s="72">
        <f>VLOOKUP(UNIFAEL.[[#This Row],[CURSO]],'[1]POS_VIVO_0112 a 3101_CAMP. REG)'!$F$5:$P$113,11,FALSE)</f>
        <v>0.55000000000000004</v>
      </c>
      <c r="W70" s="73">
        <f>VLOOKUP(UNIFAEL.[[#This Row],[CURSO]],'[1]POS_VIVO_0112 a 3101_CAMP. REG)'!$F$5:$Q$113,12,FALSE)</f>
        <v>129.84</v>
      </c>
      <c r="X70" s="75">
        <f>UNIFAEL.[[#This Row],[Nº Parcelas]]</f>
        <v>19</v>
      </c>
      <c r="Y70" s="75">
        <f>UNIFAEL.[[#This Row],[Nº Parcelas normal2]]-1</f>
        <v>18</v>
      </c>
      <c r="Z70" s="73">
        <f>UNIFAEL.[[#This Row],[$ NORMAL]]</f>
        <v>320.59937400000007</v>
      </c>
      <c r="AA70" s="72">
        <f>UNIFAEL.[[#This Row],[%  SITE]]</f>
        <v>0.5</v>
      </c>
      <c r="AB70" s="73">
        <f>UNIFAEL.[[#This Row],[$ SITE]]</f>
        <v>144.27000000000001</v>
      </c>
      <c r="AC70" s="72">
        <f>UNIFAEL.[[#This Row],[%  SGP]]</f>
        <v>0.55000000000000004</v>
      </c>
      <c r="AD70" s="73">
        <f>UNIFAEL.[[#This Row],[$ SGP]]</f>
        <v>129.84</v>
      </c>
      <c r="AE70" s="69" t="s">
        <v>371</v>
      </c>
      <c r="AF70" s="69" t="s">
        <v>372</v>
      </c>
      <c r="AH70" s="121" t="s">
        <v>279</v>
      </c>
      <c r="AI70" s="69" t="s">
        <v>19</v>
      </c>
      <c r="AJ70" s="69" t="str">
        <f>VLOOKUP(UNAMA.[[#This Row],[PARCELA MATRICULA NÃO PAGA]],'[1]POS_VIVO_0112 a 3101_CAMP. REG)'!$F$115:$G$222,2,FALSE)</f>
        <v>Gestão</v>
      </c>
      <c r="AK70" s="69">
        <f>VLOOKUP(UNAMA.[[#This Row],[PARCELA MATRICULA NÃO PAGA]],'[1]POS_VIVO_0112 a 3101_CAMP. REG)'!$F$115:$H$222,3,FALSE)</f>
        <v>15</v>
      </c>
      <c r="AL70" s="69">
        <f>VLOOKUP(UNAMA.[[#This Row],[PARCELA MATRICULA NÃO PAGA]],'[1]POS_VIVO_0112 a 3101_CAMP. REG)'!$F$115:$I$222,4,FALSE)</f>
        <v>19</v>
      </c>
      <c r="AM70" s="71">
        <f>VLOOKUP(UNAMA.[[#This Row],[PARCELA MATRICULA NÃO PAGA]],'[1]POS_VIVO_0112 a 3101_CAMP. REG)'!$F$115:$J$222,5,FALSE)</f>
        <v>352.66770900000006</v>
      </c>
      <c r="AN70" s="123">
        <f>VLOOKUP(UNAMA.[[#This Row],[PARCELA MATRICULA NÃO PAGA]],'[1]POS_VIVO_0112 a 3101_CAMP. REG)'!$F$115:$L$222,7,FALSE)</f>
        <v>0.5</v>
      </c>
      <c r="AO70" s="73">
        <f>VLOOKUP(UNAMA.[[#This Row],[PARCELA MATRICULA NÃO PAGA]],'[1]POS_VIVO_0112 a 3101_CAMP. REG)'!$F$115:$M$222,8,FALSE)</f>
        <v>158.69999999999999</v>
      </c>
      <c r="AP70" s="72">
        <f>VLOOKUP(UNAMA.[[#This Row],[PARCELA MATRICULA NÃO PAGA]],'[1]POS_VIVO_0112 a 3101_CAMP. REG)'!$F$115:$P$222,11,FALSE)</f>
        <v>0.55000000000000004</v>
      </c>
      <c r="AQ70" s="73">
        <f>VLOOKUP(UNAMA.[[#This Row],[PARCELA MATRICULA NÃO PAGA]],'[1]POS_VIVO_0112 a 3101_CAMP. REG)'!$F$115:$Q$222,12,FALSE)</f>
        <v>142.83000000000001</v>
      </c>
      <c r="AR70" s="68">
        <f>UNAMA.[[#This Row],[Nº Parcelas]]</f>
        <v>19</v>
      </c>
      <c r="AS70" s="68">
        <f>UNAMA.[[#This Row],[Nº Parcelas normal2]]-1</f>
        <v>18</v>
      </c>
      <c r="AT70" s="71">
        <f>UNAMA.[[#This Row],[$ NORMAL]]</f>
        <v>352.66770900000006</v>
      </c>
      <c r="AU70" s="162">
        <f>UNAMA.[[#This Row],[%  SITE]]</f>
        <v>0.5</v>
      </c>
      <c r="AV70" s="161">
        <f>UNAMA.[[#This Row],[$ SITE]]</f>
        <v>158.69999999999999</v>
      </c>
      <c r="AW70" s="162">
        <f>UNAMA.[[#This Row],[%  SGP]]</f>
        <v>0.55000000000000004</v>
      </c>
      <c r="AX70" s="161">
        <f>UNAMA.[[#This Row],[$ SGP]]</f>
        <v>142.83000000000001</v>
      </c>
      <c r="AY70" s="69" t="s">
        <v>351</v>
      </c>
      <c r="AZ70" s="69" t="s">
        <v>372</v>
      </c>
      <c r="BB70" s="121" t="s">
        <v>279</v>
      </c>
      <c r="BC70" s="69" t="s">
        <v>19</v>
      </c>
      <c r="BD70" s="68" t="str">
        <f>VLOOKUP(UNG.[[#This Row],[CURSO]],'[1]POS_VIVO_0112 a 3101_CAMP. REG)'!$F$224:$G$331,2,FALSE)</f>
        <v>Gestão</v>
      </c>
      <c r="BE70" s="70">
        <f>VLOOKUP(UNG.[[#This Row],[CURSO]],'[1]POS_VIVO_0112 a 3101_CAMP. REG)'!$F$224:$H$331,3,FALSE)</f>
        <v>15</v>
      </c>
      <c r="BF70" s="70">
        <f>VLOOKUP(UNG.[[#This Row],[CURSO]],'[1]POS_VIVO_0112 a 3101_CAMP. REG)'!$F$224:$I$331,4,FALSE)</f>
        <v>19</v>
      </c>
      <c r="BG70" s="73">
        <f>VLOOKUP(UNG.[[#This Row],[CURSO]],'[1]POS_VIVO_0112 a 3101_CAMP. REG)'!$F$224:$J$331,5,FALSE)</f>
        <v>320.59937400000007</v>
      </c>
      <c r="BH70" s="72">
        <f>VLOOKUP(UNG.[[#This Row],[CURSO]],'[1]POS_VIVO_0112 a 3101_CAMP. REG)'!$F$224:$L$331,7,FALSE)</f>
        <v>0.5</v>
      </c>
      <c r="BI70" s="73">
        <f>VLOOKUP(UNG.[[#This Row],[CURSO]],'[1]POS_VIVO_0112 a 3101_CAMP. REG)'!$F$224:$M$331,8,FALSE)</f>
        <v>144.27000000000001</v>
      </c>
      <c r="BJ70" s="72">
        <f>VLOOKUP(UNG.[[#This Row],[CURSO]],'[1]POS_VIVO_0112 a 3101_CAMP. REG)'!$F$224:$P$331,11,FALSE)</f>
        <v>0.55000000000000004</v>
      </c>
      <c r="BK70" s="73">
        <f>VLOOKUP(UNG.[[#This Row],[CURSO]],'[1]POS_VIVO_0112 a 3101_CAMP. REG)'!$F$224:$Q$331,12,FALSE)</f>
        <v>129.84</v>
      </c>
      <c r="BL70" s="75">
        <f>UNG.[[#This Row],[Nº Parcelas]]</f>
        <v>19</v>
      </c>
      <c r="BM70" s="75">
        <f>UNG.[[#This Row],[Nº Parcelas normal2]]-1</f>
        <v>18</v>
      </c>
      <c r="BN70" s="73">
        <f>UNG.[[#This Row],[$ NORMAL]]</f>
        <v>320.59937400000007</v>
      </c>
      <c r="BO70" s="72">
        <f>UNG.[[#This Row],[%  SITE]]</f>
        <v>0.5</v>
      </c>
      <c r="BP70" s="73">
        <f>UNG.[[#This Row],[$ SITE]]</f>
        <v>144.27000000000001</v>
      </c>
      <c r="BQ70" s="72">
        <f>UNG.[[#This Row],[%  SGP]]</f>
        <v>0.55000000000000004</v>
      </c>
      <c r="BR70" s="73">
        <f>UNG.[[#This Row],[$ SGP]]</f>
        <v>129.84</v>
      </c>
      <c r="BS70" s="69" t="s">
        <v>351</v>
      </c>
      <c r="BT70" s="69" t="s">
        <v>372</v>
      </c>
      <c r="BV70" s="121" t="s">
        <v>279</v>
      </c>
      <c r="BW70" s="69" t="s">
        <v>19</v>
      </c>
      <c r="BX70" s="69" t="str">
        <f>VLOOKUP(UNINASSAU.[[#This Row],[CURSO]],'[1]POS_VIVO_0112 a 3101_CAMP. REG)'!$F$333:$G$447,2,FALSE)</f>
        <v>Gestão</v>
      </c>
      <c r="BY70" s="68">
        <f>VLOOKUP(UNINASSAU.[[#This Row],[CURSO]],'[1]POS_VIVO_0112 a 3101_CAMP. REG)'!$F$333:$H$447,3,FALSE)</f>
        <v>15</v>
      </c>
      <c r="BZ70" s="68">
        <f>VLOOKUP(UNINASSAU.[[#This Row],[CURSO]],'[1]POS_VIVO_0112 a 3101_CAMP. REG)'!$F$333:$I$447,4,FALSE)</f>
        <v>19</v>
      </c>
      <c r="CA70" s="73">
        <f>VLOOKUP(UNINASSAU.[[#This Row],[CURSO]],'[1]POS_VIVO_0112 a 3101_CAMP. REG)'!$F$333:$J$447,5,FALSE)</f>
        <v>320.59937400000007</v>
      </c>
      <c r="CB70" s="72">
        <f>VLOOKUP(UNINASSAU.[[#This Row],[CURSO]],'[1]POS_VIVO_0112 a 3101_CAMP. REG)'!$F$333:$L$447,7,FALSE)</f>
        <v>0.5</v>
      </c>
      <c r="CC70" s="73">
        <f>VLOOKUP(UNINASSAU.[[#This Row],[CURSO]],'[1]POS_VIVO_0112 a 3101_CAMP. REG)'!$F$333:$M$447,8,FALSE)</f>
        <v>144.27000000000001</v>
      </c>
      <c r="CD70" s="72">
        <f>VLOOKUP(UNINASSAU.[[#This Row],[CURSO]],'[1]POS_VIVO_0112 a 3101_CAMP. REG)'!$F$333:$P$447,11,FALSE)</f>
        <v>0.55000000000000004</v>
      </c>
      <c r="CE70" s="73">
        <f>VLOOKUP(UNINASSAU.[[#This Row],[CURSO]],'[1]POS_VIVO_0112 a 3101_CAMP. REG)'!$F$333:$Q$447,12,FALSE)</f>
        <v>129.84</v>
      </c>
      <c r="CF70" s="75">
        <f>UNINASSAU.[[#This Row],[Nº Parcelas]]</f>
        <v>19</v>
      </c>
      <c r="CG70" s="75">
        <f>UNINASSAU.[[#This Row],[Nº Parcelas normal2]]-1</f>
        <v>18</v>
      </c>
      <c r="CH70" s="73">
        <f>UNINASSAU.[[#This Row],[$ NORMAL]]</f>
        <v>320.59937400000007</v>
      </c>
      <c r="CI70" s="72">
        <f>UNINASSAU.[[#This Row],[%  SITE]]</f>
        <v>0.5</v>
      </c>
      <c r="CJ70" s="73">
        <f>UNINASSAU.[[#This Row],[$ SITE]]</f>
        <v>144.27000000000001</v>
      </c>
      <c r="CK70" s="72">
        <f>UNINASSAU.[[#This Row],[%  SGP]]</f>
        <v>0.55000000000000004</v>
      </c>
      <c r="CL70" s="73">
        <f>UNINASSAU.[[#This Row],[$ SGP]]</f>
        <v>129.84</v>
      </c>
      <c r="CM70" s="69" t="s">
        <v>351</v>
      </c>
      <c r="CN70" s="69" t="s">
        <v>372</v>
      </c>
      <c r="CP70" s="104">
        <v>67</v>
      </c>
      <c r="CQ70" s="121" t="s">
        <v>160</v>
      </c>
    </row>
    <row r="71" spans="14:95" ht="16.5" customHeight="1" x14ac:dyDescent="0.25">
      <c r="N71" s="121" t="s">
        <v>209</v>
      </c>
      <c r="O71" s="69" t="s">
        <v>19</v>
      </c>
      <c r="P71" s="69" t="str">
        <f>VLOOKUP(UNIFAEL.[[#This Row],[CURSO]],'[1]POS_VIVO_0112 a 3101_CAMP. REG)'!$F$5:$G$113,2,FALSE)</f>
        <v>Gestão</v>
      </c>
      <c r="Q71" s="68">
        <f>VLOOKUP(UNIFAEL.[[#This Row],[CURSO]],'[1]POS_VIVO_0112 a 3101_CAMP. REG)'!$F$5:$H$113,3,FALSE)</f>
        <v>15</v>
      </c>
      <c r="R71" s="68">
        <f>VLOOKUP(UNIFAEL.[[#This Row],[CURSO]],'[1]POS_VIVO_0112 a 3101_CAMP. REG)'!$F$5:$I$113,4,FALSE)</f>
        <v>19</v>
      </c>
      <c r="S71" s="73">
        <f>VLOOKUP(UNIFAEL.[[#This Row],[CURSO]],'[1]POS_VIVO_0112 a 3101_CAMP. REG)'!$F$5:$J$113,5,FALSE)</f>
        <v>320.59937400000007</v>
      </c>
      <c r="T71" s="124">
        <f>VLOOKUP(UNIFAEL.[[#This Row],[CURSO]],'[1]POS_VIVO_0112 a 3101_CAMP. REG)'!$F$5:$L$113,7,FALSE)</f>
        <v>0.5</v>
      </c>
      <c r="U71" s="71">
        <f>VLOOKUP(UNIFAEL.[[#This Row],[CURSO]],'[1]POS_VIVO_0112 a 3101_CAMP. REG)'!$F$5:$M$113,8,FALSE)</f>
        <v>144.27000000000001</v>
      </c>
      <c r="V71" s="72">
        <f>VLOOKUP(UNIFAEL.[[#This Row],[CURSO]],'[1]POS_VIVO_0112 a 3101_CAMP. REG)'!$F$5:$P$113,11,FALSE)</f>
        <v>0.55000000000000004</v>
      </c>
      <c r="W71" s="73">
        <f>VLOOKUP(UNIFAEL.[[#This Row],[CURSO]],'[1]POS_VIVO_0112 a 3101_CAMP. REG)'!$F$5:$Q$113,12,FALSE)</f>
        <v>129.84</v>
      </c>
      <c r="X71" s="75">
        <f>UNIFAEL.[[#This Row],[Nº Parcelas]]</f>
        <v>19</v>
      </c>
      <c r="Y71" s="75">
        <f>UNIFAEL.[[#This Row],[Nº Parcelas normal2]]-1</f>
        <v>18</v>
      </c>
      <c r="Z71" s="73">
        <f>UNIFAEL.[[#This Row],[$ NORMAL]]</f>
        <v>320.59937400000007</v>
      </c>
      <c r="AA71" s="72">
        <f>UNIFAEL.[[#This Row],[%  SITE]]</f>
        <v>0.5</v>
      </c>
      <c r="AB71" s="73">
        <f>UNIFAEL.[[#This Row],[$ SITE]]</f>
        <v>144.27000000000001</v>
      </c>
      <c r="AC71" s="72">
        <f>UNIFAEL.[[#This Row],[%  SGP]]</f>
        <v>0.55000000000000004</v>
      </c>
      <c r="AD71" s="73">
        <f>UNIFAEL.[[#This Row],[$ SGP]]</f>
        <v>129.84</v>
      </c>
      <c r="AE71" s="69" t="s">
        <v>371</v>
      </c>
      <c r="AF71" s="69" t="s">
        <v>372</v>
      </c>
      <c r="AH71" s="121" t="s">
        <v>209</v>
      </c>
      <c r="AI71" s="69" t="s">
        <v>19</v>
      </c>
      <c r="AJ71" s="69" t="str">
        <f>VLOOKUP(UNAMA.[[#This Row],[PARCELA MATRICULA NÃO PAGA]],'[1]POS_VIVO_0112 a 3101_CAMP. REG)'!$F$115:$G$222,2,FALSE)</f>
        <v>Gestão</v>
      </c>
      <c r="AK71" s="69">
        <f>VLOOKUP(UNAMA.[[#This Row],[PARCELA MATRICULA NÃO PAGA]],'[1]POS_VIVO_0112 a 3101_CAMP. REG)'!$F$115:$H$222,3,FALSE)</f>
        <v>15</v>
      </c>
      <c r="AL71" s="69">
        <f>VLOOKUP(UNAMA.[[#This Row],[PARCELA MATRICULA NÃO PAGA]],'[1]POS_VIVO_0112 a 3101_CAMP. REG)'!$F$115:$I$222,4,FALSE)</f>
        <v>19</v>
      </c>
      <c r="AM71" s="71">
        <f>VLOOKUP(UNAMA.[[#This Row],[PARCELA MATRICULA NÃO PAGA]],'[1]POS_VIVO_0112 a 3101_CAMP. REG)'!$F$115:$J$222,5,FALSE)</f>
        <v>352.66770900000006</v>
      </c>
      <c r="AN71" s="123">
        <f>VLOOKUP(UNAMA.[[#This Row],[PARCELA MATRICULA NÃO PAGA]],'[1]POS_VIVO_0112 a 3101_CAMP. REG)'!$F$115:$L$222,7,FALSE)</f>
        <v>0.5</v>
      </c>
      <c r="AO71" s="73">
        <f>VLOOKUP(UNAMA.[[#This Row],[PARCELA MATRICULA NÃO PAGA]],'[1]POS_VIVO_0112 a 3101_CAMP. REG)'!$F$115:$M$222,8,FALSE)</f>
        <v>158.69999999999999</v>
      </c>
      <c r="AP71" s="72">
        <f>VLOOKUP(UNAMA.[[#This Row],[PARCELA MATRICULA NÃO PAGA]],'[1]POS_VIVO_0112 a 3101_CAMP. REG)'!$F$115:$P$222,11,FALSE)</f>
        <v>0.55000000000000004</v>
      </c>
      <c r="AQ71" s="73">
        <f>VLOOKUP(UNAMA.[[#This Row],[PARCELA MATRICULA NÃO PAGA]],'[1]POS_VIVO_0112 a 3101_CAMP. REG)'!$F$115:$Q$222,12,FALSE)</f>
        <v>142.83000000000001</v>
      </c>
      <c r="AR71" s="68">
        <f>UNAMA.[[#This Row],[Nº Parcelas]]</f>
        <v>19</v>
      </c>
      <c r="AS71" s="68">
        <f>UNAMA.[[#This Row],[Nº Parcelas normal2]]-1</f>
        <v>18</v>
      </c>
      <c r="AT71" s="71">
        <f>UNAMA.[[#This Row],[$ NORMAL]]</f>
        <v>352.66770900000006</v>
      </c>
      <c r="AU71" s="162">
        <f>UNAMA.[[#This Row],[%  SITE]]</f>
        <v>0.5</v>
      </c>
      <c r="AV71" s="161">
        <f>UNAMA.[[#This Row],[$ SITE]]</f>
        <v>158.69999999999999</v>
      </c>
      <c r="AW71" s="162">
        <f>UNAMA.[[#This Row],[%  SGP]]</f>
        <v>0.55000000000000004</v>
      </c>
      <c r="AX71" s="161">
        <f>UNAMA.[[#This Row],[$ SGP]]</f>
        <v>142.83000000000001</v>
      </c>
      <c r="AY71" s="69" t="s">
        <v>351</v>
      </c>
      <c r="AZ71" s="69" t="s">
        <v>372</v>
      </c>
      <c r="BB71" s="121" t="s">
        <v>209</v>
      </c>
      <c r="BC71" s="69" t="s">
        <v>19</v>
      </c>
      <c r="BD71" s="68" t="str">
        <f>VLOOKUP(UNG.[[#This Row],[CURSO]],'[1]POS_VIVO_0112 a 3101_CAMP. REG)'!$F$224:$G$331,2,FALSE)</f>
        <v>Gestão</v>
      </c>
      <c r="BE71" s="70">
        <f>VLOOKUP(UNG.[[#This Row],[CURSO]],'[1]POS_VIVO_0112 a 3101_CAMP. REG)'!$F$224:$H$331,3,FALSE)</f>
        <v>15</v>
      </c>
      <c r="BF71" s="70">
        <f>VLOOKUP(UNG.[[#This Row],[CURSO]],'[1]POS_VIVO_0112 a 3101_CAMP. REG)'!$F$224:$I$331,4,FALSE)</f>
        <v>19</v>
      </c>
      <c r="BG71" s="73">
        <f>VLOOKUP(UNG.[[#This Row],[CURSO]],'[1]POS_VIVO_0112 a 3101_CAMP. REG)'!$F$224:$J$331,5,FALSE)</f>
        <v>320.59937400000007</v>
      </c>
      <c r="BH71" s="72">
        <f>VLOOKUP(UNG.[[#This Row],[CURSO]],'[1]POS_VIVO_0112 a 3101_CAMP. REG)'!$F$224:$L$331,7,FALSE)</f>
        <v>0.5</v>
      </c>
      <c r="BI71" s="73">
        <f>VLOOKUP(UNG.[[#This Row],[CURSO]],'[1]POS_VIVO_0112 a 3101_CAMP. REG)'!$F$224:$M$331,8,FALSE)</f>
        <v>144.27000000000001</v>
      </c>
      <c r="BJ71" s="72">
        <f>VLOOKUP(UNG.[[#This Row],[CURSO]],'[1]POS_VIVO_0112 a 3101_CAMP. REG)'!$F$224:$P$331,11,FALSE)</f>
        <v>0.55000000000000004</v>
      </c>
      <c r="BK71" s="73">
        <f>VLOOKUP(UNG.[[#This Row],[CURSO]],'[1]POS_VIVO_0112 a 3101_CAMP. REG)'!$F$224:$Q$331,12,FALSE)</f>
        <v>129.84</v>
      </c>
      <c r="BL71" s="75">
        <f>UNG.[[#This Row],[Nº Parcelas]]</f>
        <v>19</v>
      </c>
      <c r="BM71" s="75">
        <f>UNG.[[#This Row],[Nº Parcelas normal2]]-1</f>
        <v>18</v>
      </c>
      <c r="BN71" s="73">
        <f>UNG.[[#This Row],[$ NORMAL]]</f>
        <v>320.59937400000007</v>
      </c>
      <c r="BO71" s="72">
        <f>UNG.[[#This Row],[%  SITE]]</f>
        <v>0.5</v>
      </c>
      <c r="BP71" s="73">
        <f>UNG.[[#This Row],[$ SITE]]</f>
        <v>144.27000000000001</v>
      </c>
      <c r="BQ71" s="72">
        <f>UNG.[[#This Row],[%  SGP]]</f>
        <v>0.55000000000000004</v>
      </c>
      <c r="BR71" s="73">
        <f>UNG.[[#This Row],[$ SGP]]</f>
        <v>129.84</v>
      </c>
      <c r="BS71" s="69" t="s">
        <v>351</v>
      </c>
      <c r="BT71" s="69" t="s">
        <v>372</v>
      </c>
      <c r="BV71" s="121" t="s">
        <v>209</v>
      </c>
      <c r="BW71" s="69" t="s">
        <v>19</v>
      </c>
      <c r="BX71" s="69" t="str">
        <f>VLOOKUP(UNINASSAU.[[#This Row],[CURSO]],'[1]POS_VIVO_0112 a 3101_CAMP. REG)'!$F$333:$G$447,2,FALSE)</f>
        <v>Gestão</v>
      </c>
      <c r="BY71" s="68">
        <f>VLOOKUP(UNINASSAU.[[#This Row],[CURSO]],'[1]POS_VIVO_0112 a 3101_CAMP. REG)'!$F$333:$H$447,3,FALSE)</f>
        <v>15</v>
      </c>
      <c r="BZ71" s="68">
        <f>VLOOKUP(UNINASSAU.[[#This Row],[CURSO]],'[1]POS_VIVO_0112 a 3101_CAMP. REG)'!$F$333:$I$447,4,FALSE)</f>
        <v>19</v>
      </c>
      <c r="CA71" s="73">
        <f>VLOOKUP(UNINASSAU.[[#This Row],[CURSO]],'[1]POS_VIVO_0112 a 3101_CAMP. REG)'!$F$333:$J$447,5,FALSE)</f>
        <v>320.59937400000007</v>
      </c>
      <c r="CB71" s="72">
        <f>VLOOKUP(UNINASSAU.[[#This Row],[CURSO]],'[1]POS_VIVO_0112 a 3101_CAMP. REG)'!$F$333:$L$447,7,FALSE)</f>
        <v>0.5</v>
      </c>
      <c r="CC71" s="73">
        <f>VLOOKUP(UNINASSAU.[[#This Row],[CURSO]],'[1]POS_VIVO_0112 a 3101_CAMP. REG)'!$F$333:$M$447,8,FALSE)</f>
        <v>144.27000000000001</v>
      </c>
      <c r="CD71" s="72">
        <f>VLOOKUP(UNINASSAU.[[#This Row],[CURSO]],'[1]POS_VIVO_0112 a 3101_CAMP. REG)'!$F$333:$P$447,11,FALSE)</f>
        <v>0.55000000000000004</v>
      </c>
      <c r="CE71" s="73">
        <f>VLOOKUP(UNINASSAU.[[#This Row],[CURSO]],'[1]POS_VIVO_0112 a 3101_CAMP. REG)'!$F$333:$Q$447,12,FALSE)</f>
        <v>129.84</v>
      </c>
      <c r="CF71" s="75">
        <f>UNINASSAU.[[#This Row],[Nº Parcelas]]</f>
        <v>19</v>
      </c>
      <c r="CG71" s="75">
        <f>UNINASSAU.[[#This Row],[Nº Parcelas normal2]]-1</f>
        <v>18</v>
      </c>
      <c r="CH71" s="73">
        <f>UNINASSAU.[[#This Row],[$ NORMAL]]</f>
        <v>320.59937400000007</v>
      </c>
      <c r="CI71" s="72">
        <f>UNINASSAU.[[#This Row],[%  SITE]]</f>
        <v>0.5</v>
      </c>
      <c r="CJ71" s="73">
        <f>UNINASSAU.[[#This Row],[$ SITE]]</f>
        <v>144.27000000000001</v>
      </c>
      <c r="CK71" s="72">
        <f>UNINASSAU.[[#This Row],[%  SGP]]</f>
        <v>0.55000000000000004</v>
      </c>
      <c r="CL71" s="73">
        <f>UNINASSAU.[[#This Row],[$ SGP]]</f>
        <v>129.84</v>
      </c>
      <c r="CM71" s="69" t="s">
        <v>351</v>
      </c>
      <c r="CN71" s="69" t="s">
        <v>372</v>
      </c>
      <c r="CP71" s="104">
        <v>68</v>
      </c>
      <c r="CQ71" s="121" t="s">
        <v>346</v>
      </c>
    </row>
    <row r="72" spans="14:95" ht="16.5" customHeight="1" x14ac:dyDescent="0.25">
      <c r="N72" s="121" t="s">
        <v>221</v>
      </c>
      <c r="O72" s="69" t="s">
        <v>19</v>
      </c>
      <c r="P72" s="69" t="str">
        <f>VLOOKUP(UNIFAEL.[[#This Row],[CURSO]],'[1]POS_VIVO_0112 a 3101_CAMP. REG)'!$F$5:$G$113,2,FALSE)</f>
        <v>Gestão</v>
      </c>
      <c r="Q72" s="68">
        <f>VLOOKUP(UNIFAEL.[[#This Row],[CURSO]],'[1]POS_VIVO_0112 a 3101_CAMP. REG)'!$F$5:$H$113,3,FALSE)</f>
        <v>15</v>
      </c>
      <c r="R72" s="68">
        <f>VLOOKUP(UNIFAEL.[[#This Row],[CURSO]],'[1]POS_VIVO_0112 a 3101_CAMP. REG)'!$F$5:$I$113,4,FALSE)</f>
        <v>19</v>
      </c>
      <c r="S72" s="73">
        <f>VLOOKUP(UNIFAEL.[[#This Row],[CURSO]],'[1]POS_VIVO_0112 a 3101_CAMP. REG)'!$F$5:$J$113,5,FALSE)</f>
        <v>320.59937400000007</v>
      </c>
      <c r="T72" s="124">
        <f>VLOOKUP(UNIFAEL.[[#This Row],[CURSO]],'[1]POS_VIVO_0112 a 3101_CAMP. REG)'!$F$5:$L$113,7,FALSE)</f>
        <v>0.3</v>
      </c>
      <c r="U72" s="71">
        <f>VLOOKUP(UNIFAEL.[[#This Row],[CURSO]],'[1]POS_VIVO_0112 a 3101_CAMP. REG)'!$F$5:$M$113,8,FALSE)</f>
        <v>201.98</v>
      </c>
      <c r="V72" s="72">
        <f>VLOOKUP(UNIFAEL.[[#This Row],[CURSO]],'[1]POS_VIVO_0112 a 3101_CAMP. REG)'!$F$5:$P$113,11,FALSE)</f>
        <v>0.35</v>
      </c>
      <c r="W72" s="73">
        <f>VLOOKUP(UNIFAEL.[[#This Row],[CURSO]],'[1]POS_VIVO_0112 a 3101_CAMP. REG)'!$F$5:$Q$113,12,FALSE)</f>
        <v>187.55</v>
      </c>
      <c r="X72" s="75">
        <f>UNIFAEL.[[#This Row],[Nº Parcelas]]</f>
        <v>19</v>
      </c>
      <c r="Y72" s="75">
        <f>UNIFAEL.[[#This Row],[Nº Parcelas normal2]]-1</f>
        <v>18</v>
      </c>
      <c r="Z72" s="73">
        <f>UNIFAEL.[[#This Row],[$ NORMAL]]</f>
        <v>320.59937400000007</v>
      </c>
      <c r="AA72" s="72">
        <f>UNIFAEL.[[#This Row],[%  SITE]]</f>
        <v>0.3</v>
      </c>
      <c r="AB72" s="73">
        <f>UNIFAEL.[[#This Row],[$ SITE]]</f>
        <v>201.98</v>
      </c>
      <c r="AC72" s="72">
        <f>UNIFAEL.[[#This Row],[%  SGP]]</f>
        <v>0.35</v>
      </c>
      <c r="AD72" s="73">
        <f>UNIFAEL.[[#This Row],[$ SGP]]</f>
        <v>187.55</v>
      </c>
      <c r="AE72" s="69" t="s">
        <v>371</v>
      </c>
      <c r="AF72" s="69" t="s">
        <v>372</v>
      </c>
      <c r="AH72" s="121" t="s">
        <v>221</v>
      </c>
      <c r="AI72" s="69" t="s">
        <v>19</v>
      </c>
      <c r="AJ72" s="69" t="str">
        <f>VLOOKUP(UNAMA.[[#This Row],[PARCELA MATRICULA NÃO PAGA]],'[1]POS_VIVO_0112 a 3101_CAMP. REG)'!$F$115:$G$222,2,FALSE)</f>
        <v>Gestão</v>
      </c>
      <c r="AK72" s="69">
        <f>VLOOKUP(UNAMA.[[#This Row],[PARCELA MATRICULA NÃO PAGA]],'[1]POS_VIVO_0112 a 3101_CAMP. REG)'!$F$115:$H$222,3,FALSE)</f>
        <v>15</v>
      </c>
      <c r="AL72" s="69">
        <f>VLOOKUP(UNAMA.[[#This Row],[PARCELA MATRICULA NÃO PAGA]],'[1]POS_VIVO_0112 a 3101_CAMP. REG)'!$F$115:$I$222,4,FALSE)</f>
        <v>19</v>
      </c>
      <c r="AM72" s="71">
        <f>VLOOKUP(UNAMA.[[#This Row],[PARCELA MATRICULA NÃO PAGA]],'[1]POS_VIVO_0112 a 3101_CAMP. REG)'!$F$115:$J$222,5,FALSE)</f>
        <v>352.66770900000006</v>
      </c>
      <c r="AN72" s="123">
        <f>VLOOKUP(UNAMA.[[#This Row],[PARCELA MATRICULA NÃO PAGA]],'[1]POS_VIVO_0112 a 3101_CAMP. REG)'!$F$115:$L$222,7,FALSE)</f>
        <v>0.3</v>
      </c>
      <c r="AO72" s="73">
        <f>VLOOKUP(UNAMA.[[#This Row],[PARCELA MATRICULA NÃO PAGA]],'[1]POS_VIVO_0112 a 3101_CAMP. REG)'!$F$115:$M$222,8,FALSE)</f>
        <v>222.18</v>
      </c>
      <c r="AP72" s="72">
        <f>VLOOKUP(UNAMA.[[#This Row],[PARCELA MATRICULA NÃO PAGA]],'[1]POS_VIVO_0112 a 3101_CAMP. REG)'!$F$115:$P$222,11,FALSE)</f>
        <v>0.35</v>
      </c>
      <c r="AQ72" s="73">
        <f>VLOOKUP(UNAMA.[[#This Row],[PARCELA MATRICULA NÃO PAGA]],'[1]POS_VIVO_0112 a 3101_CAMP. REG)'!$F$115:$Q$222,12,FALSE)</f>
        <v>206.31</v>
      </c>
      <c r="AR72" s="68">
        <f>UNAMA.[[#This Row],[Nº Parcelas]]</f>
        <v>19</v>
      </c>
      <c r="AS72" s="68">
        <f>UNAMA.[[#This Row],[Nº Parcelas normal2]]-1</f>
        <v>18</v>
      </c>
      <c r="AT72" s="71">
        <f>UNAMA.[[#This Row],[$ NORMAL]]</f>
        <v>352.66770900000006</v>
      </c>
      <c r="AU72" s="162">
        <f>UNAMA.[[#This Row],[%  SITE]]</f>
        <v>0.3</v>
      </c>
      <c r="AV72" s="161">
        <f>UNAMA.[[#This Row],[$ SITE]]</f>
        <v>222.18</v>
      </c>
      <c r="AW72" s="162">
        <f>UNAMA.[[#This Row],[%  SGP]]</f>
        <v>0.35</v>
      </c>
      <c r="AX72" s="161">
        <f>UNAMA.[[#This Row],[$ SGP]]</f>
        <v>206.31</v>
      </c>
      <c r="AY72" s="69" t="s">
        <v>351</v>
      </c>
      <c r="AZ72" s="69" t="s">
        <v>372</v>
      </c>
      <c r="BB72" s="121" t="s">
        <v>221</v>
      </c>
      <c r="BC72" s="69" t="s">
        <v>19</v>
      </c>
      <c r="BD72" s="68" t="str">
        <f>VLOOKUP(UNG.[[#This Row],[CURSO]],'[1]POS_VIVO_0112 a 3101_CAMP. REG)'!$F$224:$G$331,2,FALSE)</f>
        <v>Gestão</v>
      </c>
      <c r="BE72" s="70">
        <f>VLOOKUP(UNG.[[#This Row],[CURSO]],'[1]POS_VIVO_0112 a 3101_CAMP. REG)'!$F$224:$H$331,3,FALSE)</f>
        <v>15</v>
      </c>
      <c r="BF72" s="70">
        <f>VLOOKUP(UNG.[[#This Row],[CURSO]],'[1]POS_VIVO_0112 a 3101_CAMP. REG)'!$F$224:$I$331,4,FALSE)</f>
        <v>19</v>
      </c>
      <c r="BG72" s="73">
        <f>VLOOKUP(UNG.[[#This Row],[CURSO]],'[1]POS_VIVO_0112 a 3101_CAMP. REG)'!$F$224:$J$331,5,FALSE)</f>
        <v>320.59937400000007</v>
      </c>
      <c r="BH72" s="72">
        <f>VLOOKUP(UNG.[[#This Row],[CURSO]],'[1]POS_VIVO_0112 a 3101_CAMP. REG)'!$F$224:$L$331,7,FALSE)</f>
        <v>0.3</v>
      </c>
      <c r="BI72" s="73">
        <f>VLOOKUP(UNG.[[#This Row],[CURSO]],'[1]POS_VIVO_0112 a 3101_CAMP. REG)'!$F$224:$M$331,8,FALSE)</f>
        <v>201.98</v>
      </c>
      <c r="BJ72" s="72">
        <f>VLOOKUP(UNG.[[#This Row],[CURSO]],'[1]POS_VIVO_0112 a 3101_CAMP. REG)'!$F$224:$P$331,11,FALSE)</f>
        <v>0.35</v>
      </c>
      <c r="BK72" s="73">
        <f>VLOOKUP(UNG.[[#This Row],[CURSO]],'[1]POS_VIVO_0112 a 3101_CAMP. REG)'!$F$224:$Q$331,12,FALSE)</f>
        <v>187.55</v>
      </c>
      <c r="BL72" s="75">
        <f>UNG.[[#This Row],[Nº Parcelas]]</f>
        <v>19</v>
      </c>
      <c r="BM72" s="75">
        <f>UNG.[[#This Row],[Nº Parcelas normal2]]-1</f>
        <v>18</v>
      </c>
      <c r="BN72" s="73">
        <f>UNG.[[#This Row],[$ NORMAL]]</f>
        <v>320.59937400000007</v>
      </c>
      <c r="BO72" s="72">
        <f>UNG.[[#This Row],[%  SITE]]</f>
        <v>0.3</v>
      </c>
      <c r="BP72" s="73">
        <f>UNG.[[#This Row],[$ SITE]]</f>
        <v>201.98</v>
      </c>
      <c r="BQ72" s="72">
        <f>UNG.[[#This Row],[%  SGP]]</f>
        <v>0.35</v>
      </c>
      <c r="BR72" s="73">
        <f>UNG.[[#This Row],[$ SGP]]</f>
        <v>187.55</v>
      </c>
      <c r="BS72" s="69" t="s">
        <v>351</v>
      </c>
      <c r="BT72" s="69" t="s">
        <v>372</v>
      </c>
      <c r="BV72" s="121" t="s">
        <v>221</v>
      </c>
      <c r="BW72" s="69" t="s">
        <v>19</v>
      </c>
      <c r="BX72" s="69" t="str">
        <f>VLOOKUP(UNINASSAU.[[#This Row],[CURSO]],'[1]POS_VIVO_0112 a 3101_CAMP. REG)'!$F$333:$G$447,2,FALSE)</f>
        <v>Gestão</v>
      </c>
      <c r="BY72" s="68">
        <f>VLOOKUP(UNINASSAU.[[#This Row],[CURSO]],'[1]POS_VIVO_0112 a 3101_CAMP. REG)'!$F$333:$H$447,3,FALSE)</f>
        <v>15</v>
      </c>
      <c r="BZ72" s="68">
        <f>VLOOKUP(UNINASSAU.[[#This Row],[CURSO]],'[1]POS_VIVO_0112 a 3101_CAMP. REG)'!$F$333:$I$447,4,FALSE)</f>
        <v>19</v>
      </c>
      <c r="CA72" s="73">
        <f>VLOOKUP(UNINASSAU.[[#This Row],[CURSO]],'[1]POS_VIVO_0112 a 3101_CAMP. REG)'!$F$333:$J$447,5,FALSE)</f>
        <v>320.59937400000007</v>
      </c>
      <c r="CB72" s="72">
        <f>VLOOKUP(UNINASSAU.[[#This Row],[CURSO]],'[1]POS_VIVO_0112 a 3101_CAMP. REG)'!$F$333:$L$447,7,FALSE)</f>
        <v>0.3</v>
      </c>
      <c r="CC72" s="73">
        <f>VLOOKUP(UNINASSAU.[[#This Row],[CURSO]],'[1]POS_VIVO_0112 a 3101_CAMP. REG)'!$F$333:$M$447,8,FALSE)</f>
        <v>201.98</v>
      </c>
      <c r="CD72" s="72">
        <f>VLOOKUP(UNINASSAU.[[#This Row],[CURSO]],'[1]POS_VIVO_0112 a 3101_CAMP. REG)'!$F$333:$P$447,11,FALSE)</f>
        <v>0.35</v>
      </c>
      <c r="CE72" s="73">
        <f>VLOOKUP(UNINASSAU.[[#This Row],[CURSO]],'[1]POS_VIVO_0112 a 3101_CAMP. REG)'!$F$333:$Q$447,12,FALSE)</f>
        <v>187.55</v>
      </c>
      <c r="CF72" s="75">
        <f>UNINASSAU.[[#This Row],[Nº Parcelas]]</f>
        <v>19</v>
      </c>
      <c r="CG72" s="75">
        <f>UNINASSAU.[[#This Row],[Nº Parcelas normal2]]-1</f>
        <v>18</v>
      </c>
      <c r="CH72" s="73">
        <f>UNINASSAU.[[#This Row],[$ NORMAL]]</f>
        <v>320.59937400000007</v>
      </c>
      <c r="CI72" s="72">
        <f>UNINASSAU.[[#This Row],[%  SITE]]</f>
        <v>0.3</v>
      </c>
      <c r="CJ72" s="73">
        <f>UNINASSAU.[[#This Row],[$ SITE]]</f>
        <v>201.98</v>
      </c>
      <c r="CK72" s="72">
        <f>UNINASSAU.[[#This Row],[%  SGP]]</f>
        <v>0.35</v>
      </c>
      <c r="CL72" s="73">
        <f>UNINASSAU.[[#This Row],[$ SGP]]</f>
        <v>187.55</v>
      </c>
      <c r="CM72" s="69" t="s">
        <v>351</v>
      </c>
      <c r="CN72" s="69" t="s">
        <v>372</v>
      </c>
      <c r="CP72" s="104">
        <v>69</v>
      </c>
      <c r="CQ72" s="121" t="s">
        <v>347</v>
      </c>
    </row>
    <row r="73" spans="14:95" ht="16.5" customHeight="1" x14ac:dyDescent="0.25">
      <c r="N73" s="121" t="s">
        <v>238</v>
      </c>
      <c r="O73" s="69" t="s">
        <v>19</v>
      </c>
      <c r="P73" s="69" t="str">
        <f>VLOOKUP(UNIFAEL.[[#This Row],[CURSO]],'[1]POS_VIVO_0112 a 3101_CAMP. REG)'!$F$5:$G$113,2,FALSE)</f>
        <v>Gestão</v>
      </c>
      <c r="Q73" s="68">
        <f>VLOOKUP(UNIFAEL.[[#This Row],[CURSO]],'[1]POS_VIVO_0112 a 3101_CAMP. REG)'!$F$5:$H$113,3,FALSE)</f>
        <v>15</v>
      </c>
      <c r="R73" s="68">
        <f>VLOOKUP(UNIFAEL.[[#This Row],[CURSO]],'[1]POS_VIVO_0112 a 3101_CAMP. REG)'!$F$5:$I$113,4,FALSE)</f>
        <v>19</v>
      </c>
      <c r="S73" s="73">
        <f>VLOOKUP(UNIFAEL.[[#This Row],[CURSO]],'[1]POS_VIVO_0112 a 3101_CAMP. REG)'!$F$5:$J$113,5,FALSE)</f>
        <v>320.59937400000007</v>
      </c>
      <c r="T73" s="124">
        <f>VLOOKUP(UNIFAEL.[[#This Row],[CURSO]],'[1]POS_VIVO_0112 a 3101_CAMP. REG)'!$F$5:$L$113,7,FALSE)</f>
        <v>0.3</v>
      </c>
      <c r="U73" s="71">
        <f>VLOOKUP(UNIFAEL.[[#This Row],[CURSO]],'[1]POS_VIVO_0112 a 3101_CAMP. REG)'!$F$5:$M$113,8,FALSE)</f>
        <v>201.98</v>
      </c>
      <c r="V73" s="72">
        <f>VLOOKUP(UNIFAEL.[[#This Row],[CURSO]],'[1]POS_VIVO_0112 a 3101_CAMP. REG)'!$F$5:$P$113,11,FALSE)</f>
        <v>0.35</v>
      </c>
      <c r="W73" s="73">
        <f>VLOOKUP(UNIFAEL.[[#This Row],[CURSO]],'[1]POS_VIVO_0112 a 3101_CAMP. REG)'!$F$5:$Q$113,12,FALSE)</f>
        <v>187.55</v>
      </c>
      <c r="X73" s="75">
        <f>UNIFAEL.[[#This Row],[Nº Parcelas]]</f>
        <v>19</v>
      </c>
      <c r="Y73" s="75">
        <f>UNIFAEL.[[#This Row],[Nº Parcelas normal2]]-1</f>
        <v>18</v>
      </c>
      <c r="Z73" s="73">
        <f>UNIFAEL.[[#This Row],[$ NORMAL]]</f>
        <v>320.59937400000007</v>
      </c>
      <c r="AA73" s="72">
        <f>UNIFAEL.[[#This Row],[%  SITE]]</f>
        <v>0.3</v>
      </c>
      <c r="AB73" s="73">
        <f>UNIFAEL.[[#This Row],[$ SITE]]</f>
        <v>201.98</v>
      </c>
      <c r="AC73" s="72">
        <f>UNIFAEL.[[#This Row],[%  SGP]]</f>
        <v>0.35</v>
      </c>
      <c r="AD73" s="73">
        <f>UNIFAEL.[[#This Row],[$ SGP]]</f>
        <v>187.55</v>
      </c>
      <c r="AE73" s="69" t="s">
        <v>371</v>
      </c>
      <c r="AF73" s="69" t="s">
        <v>372</v>
      </c>
      <c r="AH73" s="121" t="s">
        <v>238</v>
      </c>
      <c r="AI73" s="69" t="s">
        <v>19</v>
      </c>
      <c r="AJ73" s="69" t="str">
        <f>VLOOKUP(UNAMA.[[#This Row],[PARCELA MATRICULA NÃO PAGA]],'[1]POS_VIVO_0112 a 3101_CAMP. REG)'!$F$115:$G$222,2,FALSE)</f>
        <v>Gestão</v>
      </c>
      <c r="AK73" s="69">
        <f>VLOOKUP(UNAMA.[[#This Row],[PARCELA MATRICULA NÃO PAGA]],'[1]POS_VIVO_0112 a 3101_CAMP. REG)'!$F$115:$H$222,3,FALSE)</f>
        <v>15</v>
      </c>
      <c r="AL73" s="69">
        <f>VLOOKUP(UNAMA.[[#This Row],[PARCELA MATRICULA NÃO PAGA]],'[1]POS_VIVO_0112 a 3101_CAMP. REG)'!$F$115:$I$222,4,FALSE)</f>
        <v>19</v>
      </c>
      <c r="AM73" s="71">
        <f>VLOOKUP(UNAMA.[[#This Row],[PARCELA MATRICULA NÃO PAGA]],'[1]POS_VIVO_0112 a 3101_CAMP. REG)'!$F$115:$J$222,5,FALSE)</f>
        <v>352.66770900000006</v>
      </c>
      <c r="AN73" s="123">
        <f>VLOOKUP(UNAMA.[[#This Row],[PARCELA MATRICULA NÃO PAGA]],'[1]POS_VIVO_0112 a 3101_CAMP. REG)'!$F$115:$L$222,7,FALSE)</f>
        <v>0.3</v>
      </c>
      <c r="AO73" s="73">
        <f>VLOOKUP(UNAMA.[[#This Row],[PARCELA MATRICULA NÃO PAGA]],'[1]POS_VIVO_0112 a 3101_CAMP. REG)'!$F$115:$M$222,8,FALSE)</f>
        <v>222.18</v>
      </c>
      <c r="AP73" s="72">
        <f>VLOOKUP(UNAMA.[[#This Row],[PARCELA MATRICULA NÃO PAGA]],'[1]POS_VIVO_0112 a 3101_CAMP. REG)'!$F$115:$P$222,11,FALSE)</f>
        <v>0.35</v>
      </c>
      <c r="AQ73" s="73">
        <f>VLOOKUP(UNAMA.[[#This Row],[PARCELA MATRICULA NÃO PAGA]],'[1]POS_VIVO_0112 a 3101_CAMP. REG)'!$F$115:$Q$222,12,FALSE)</f>
        <v>206.31</v>
      </c>
      <c r="AR73" s="68">
        <f>UNAMA.[[#This Row],[Nº Parcelas]]</f>
        <v>19</v>
      </c>
      <c r="AS73" s="68">
        <f>UNAMA.[[#This Row],[Nº Parcelas normal2]]-1</f>
        <v>18</v>
      </c>
      <c r="AT73" s="71">
        <f>UNAMA.[[#This Row],[$ NORMAL]]</f>
        <v>352.66770900000006</v>
      </c>
      <c r="AU73" s="162">
        <f>UNAMA.[[#This Row],[%  SITE]]</f>
        <v>0.3</v>
      </c>
      <c r="AV73" s="161">
        <f>UNAMA.[[#This Row],[$ SITE]]</f>
        <v>222.18</v>
      </c>
      <c r="AW73" s="162">
        <f>UNAMA.[[#This Row],[%  SGP]]</f>
        <v>0.35</v>
      </c>
      <c r="AX73" s="161">
        <f>UNAMA.[[#This Row],[$ SGP]]</f>
        <v>206.31</v>
      </c>
      <c r="AY73" s="69" t="s">
        <v>351</v>
      </c>
      <c r="AZ73" s="69" t="s">
        <v>372</v>
      </c>
      <c r="BB73" s="121" t="s">
        <v>238</v>
      </c>
      <c r="BC73" s="69" t="s">
        <v>19</v>
      </c>
      <c r="BD73" s="68" t="str">
        <f>VLOOKUP(UNG.[[#This Row],[CURSO]],'[1]POS_VIVO_0112 a 3101_CAMP. REG)'!$F$224:$G$331,2,FALSE)</f>
        <v>Gestão</v>
      </c>
      <c r="BE73" s="70">
        <f>VLOOKUP(UNG.[[#This Row],[CURSO]],'[1]POS_VIVO_0112 a 3101_CAMP. REG)'!$F$224:$H$331,3,FALSE)</f>
        <v>15</v>
      </c>
      <c r="BF73" s="70">
        <f>VLOOKUP(UNG.[[#This Row],[CURSO]],'[1]POS_VIVO_0112 a 3101_CAMP. REG)'!$F$224:$I$331,4,FALSE)</f>
        <v>19</v>
      </c>
      <c r="BG73" s="73">
        <f>VLOOKUP(UNG.[[#This Row],[CURSO]],'[1]POS_VIVO_0112 a 3101_CAMP. REG)'!$F$224:$J$331,5,FALSE)</f>
        <v>320.59937400000007</v>
      </c>
      <c r="BH73" s="72">
        <f>VLOOKUP(UNG.[[#This Row],[CURSO]],'[1]POS_VIVO_0112 a 3101_CAMP. REG)'!$F$224:$L$331,7,FALSE)</f>
        <v>0.3</v>
      </c>
      <c r="BI73" s="73">
        <f>VLOOKUP(UNG.[[#This Row],[CURSO]],'[1]POS_VIVO_0112 a 3101_CAMP. REG)'!$F$224:$M$331,8,FALSE)</f>
        <v>201.98</v>
      </c>
      <c r="BJ73" s="72">
        <f>VLOOKUP(UNG.[[#This Row],[CURSO]],'[1]POS_VIVO_0112 a 3101_CAMP. REG)'!$F$224:$P$331,11,FALSE)</f>
        <v>0.35</v>
      </c>
      <c r="BK73" s="73">
        <f>VLOOKUP(UNG.[[#This Row],[CURSO]],'[1]POS_VIVO_0112 a 3101_CAMP. REG)'!$F$224:$Q$331,12,FALSE)</f>
        <v>187.55</v>
      </c>
      <c r="BL73" s="75">
        <f>UNG.[[#This Row],[Nº Parcelas]]</f>
        <v>19</v>
      </c>
      <c r="BM73" s="75">
        <f>UNG.[[#This Row],[Nº Parcelas normal2]]-1</f>
        <v>18</v>
      </c>
      <c r="BN73" s="73">
        <f>UNG.[[#This Row],[$ NORMAL]]</f>
        <v>320.59937400000007</v>
      </c>
      <c r="BO73" s="72">
        <f>UNG.[[#This Row],[%  SITE]]</f>
        <v>0.3</v>
      </c>
      <c r="BP73" s="73">
        <f>UNG.[[#This Row],[$ SITE]]</f>
        <v>201.98</v>
      </c>
      <c r="BQ73" s="72">
        <f>UNG.[[#This Row],[%  SGP]]</f>
        <v>0.35</v>
      </c>
      <c r="BR73" s="73">
        <f>UNG.[[#This Row],[$ SGP]]</f>
        <v>187.55</v>
      </c>
      <c r="BS73" s="69" t="s">
        <v>351</v>
      </c>
      <c r="BT73" s="69" t="s">
        <v>372</v>
      </c>
      <c r="BV73" s="121" t="s">
        <v>238</v>
      </c>
      <c r="BW73" s="69" t="s">
        <v>19</v>
      </c>
      <c r="BX73" s="69" t="str">
        <f>VLOOKUP(UNINASSAU.[[#This Row],[CURSO]],'[1]POS_VIVO_0112 a 3101_CAMP. REG)'!$F$333:$G$447,2,FALSE)</f>
        <v>Gestão</v>
      </c>
      <c r="BY73" s="68">
        <f>VLOOKUP(UNINASSAU.[[#This Row],[CURSO]],'[1]POS_VIVO_0112 a 3101_CAMP. REG)'!$F$333:$H$447,3,FALSE)</f>
        <v>15</v>
      </c>
      <c r="BZ73" s="68">
        <f>VLOOKUP(UNINASSAU.[[#This Row],[CURSO]],'[1]POS_VIVO_0112 a 3101_CAMP. REG)'!$F$333:$I$447,4,FALSE)</f>
        <v>19</v>
      </c>
      <c r="CA73" s="73">
        <f>VLOOKUP(UNINASSAU.[[#This Row],[CURSO]],'[1]POS_VIVO_0112 a 3101_CAMP. REG)'!$F$333:$J$447,5,FALSE)</f>
        <v>320.59937400000007</v>
      </c>
      <c r="CB73" s="72">
        <f>VLOOKUP(UNINASSAU.[[#This Row],[CURSO]],'[1]POS_VIVO_0112 a 3101_CAMP. REG)'!$F$333:$L$447,7,FALSE)</f>
        <v>0.3</v>
      </c>
      <c r="CC73" s="73">
        <f>VLOOKUP(UNINASSAU.[[#This Row],[CURSO]],'[1]POS_VIVO_0112 a 3101_CAMP. REG)'!$F$333:$M$447,8,FALSE)</f>
        <v>201.98</v>
      </c>
      <c r="CD73" s="72">
        <f>VLOOKUP(UNINASSAU.[[#This Row],[CURSO]],'[1]POS_VIVO_0112 a 3101_CAMP. REG)'!$F$333:$P$447,11,FALSE)</f>
        <v>0.35</v>
      </c>
      <c r="CE73" s="73">
        <f>VLOOKUP(UNINASSAU.[[#This Row],[CURSO]],'[1]POS_VIVO_0112 a 3101_CAMP. REG)'!$F$333:$Q$447,12,FALSE)</f>
        <v>187.55</v>
      </c>
      <c r="CF73" s="75">
        <f>UNINASSAU.[[#This Row],[Nº Parcelas]]</f>
        <v>19</v>
      </c>
      <c r="CG73" s="75">
        <f>UNINASSAU.[[#This Row],[Nº Parcelas normal2]]-1</f>
        <v>18</v>
      </c>
      <c r="CH73" s="73">
        <f>UNINASSAU.[[#This Row],[$ NORMAL]]</f>
        <v>320.59937400000007</v>
      </c>
      <c r="CI73" s="72">
        <f>UNINASSAU.[[#This Row],[%  SITE]]</f>
        <v>0.3</v>
      </c>
      <c r="CJ73" s="73">
        <f>UNINASSAU.[[#This Row],[$ SITE]]</f>
        <v>201.98</v>
      </c>
      <c r="CK73" s="72">
        <f>UNINASSAU.[[#This Row],[%  SGP]]</f>
        <v>0.35</v>
      </c>
      <c r="CL73" s="73">
        <f>UNINASSAU.[[#This Row],[$ SGP]]</f>
        <v>187.55</v>
      </c>
      <c r="CM73" s="69" t="s">
        <v>351</v>
      </c>
      <c r="CN73" s="69" t="s">
        <v>372</v>
      </c>
      <c r="CP73" s="104">
        <v>70</v>
      </c>
      <c r="CQ73" s="121" t="s">
        <v>330</v>
      </c>
    </row>
    <row r="74" spans="14:95" ht="16.5" customHeight="1" x14ac:dyDescent="0.25">
      <c r="N74" s="121" t="s">
        <v>246</v>
      </c>
      <c r="O74" s="69" t="s">
        <v>19</v>
      </c>
      <c r="P74" s="69" t="str">
        <f>VLOOKUP(UNIFAEL.[[#This Row],[CURSO]],'[1]POS_VIVO_0112 a 3101_CAMP. REG)'!$F$5:$G$113,2,FALSE)</f>
        <v>Gestão</v>
      </c>
      <c r="Q74" s="68">
        <f>VLOOKUP(UNIFAEL.[[#This Row],[CURSO]],'[1]POS_VIVO_0112 a 3101_CAMP. REG)'!$F$5:$H$113,3,FALSE)</f>
        <v>18</v>
      </c>
      <c r="R74" s="68">
        <f>VLOOKUP(UNIFAEL.[[#This Row],[CURSO]],'[1]POS_VIVO_0112 a 3101_CAMP. REG)'!$F$5:$I$113,4,FALSE)</f>
        <v>19</v>
      </c>
      <c r="S74" s="73">
        <f>VLOOKUP(UNIFAEL.[[#This Row],[CURSO]],'[1]POS_VIVO_0112 a 3101_CAMP. REG)'!$F$5:$J$113,5,FALSE)</f>
        <v>320.59937400000007</v>
      </c>
      <c r="T74" s="124">
        <f>VLOOKUP(UNIFAEL.[[#This Row],[CURSO]],'[1]POS_VIVO_0112 a 3101_CAMP. REG)'!$F$5:$L$113,7,FALSE)</f>
        <v>0.3</v>
      </c>
      <c r="U74" s="71">
        <f>VLOOKUP(UNIFAEL.[[#This Row],[CURSO]],'[1]POS_VIVO_0112 a 3101_CAMP. REG)'!$F$5:$M$113,8,FALSE)</f>
        <v>201.98</v>
      </c>
      <c r="V74" s="72">
        <f>VLOOKUP(UNIFAEL.[[#This Row],[CURSO]],'[1]POS_VIVO_0112 a 3101_CAMP. REG)'!$F$5:$P$113,11,FALSE)</f>
        <v>0.35</v>
      </c>
      <c r="W74" s="73">
        <f>VLOOKUP(UNIFAEL.[[#This Row],[CURSO]],'[1]POS_VIVO_0112 a 3101_CAMP. REG)'!$F$5:$Q$113,12,FALSE)</f>
        <v>187.55</v>
      </c>
      <c r="X74" s="75">
        <f>UNIFAEL.[[#This Row],[Nº Parcelas]]</f>
        <v>19</v>
      </c>
      <c r="Y74" s="75">
        <f>UNIFAEL.[[#This Row],[Nº Parcelas normal2]]-1</f>
        <v>18</v>
      </c>
      <c r="Z74" s="73">
        <f>UNIFAEL.[[#This Row],[$ NORMAL]]</f>
        <v>320.59937400000007</v>
      </c>
      <c r="AA74" s="72">
        <f>UNIFAEL.[[#This Row],[%  SITE]]</f>
        <v>0.3</v>
      </c>
      <c r="AB74" s="73">
        <f>UNIFAEL.[[#This Row],[$ SITE]]</f>
        <v>201.98</v>
      </c>
      <c r="AC74" s="72">
        <f>UNIFAEL.[[#This Row],[%  SGP]]</f>
        <v>0.35</v>
      </c>
      <c r="AD74" s="73">
        <f>UNIFAEL.[[#This Row],[$ SGP]]</f>
        <v>187.55</v>
      </c>
      <c r="AE74" s="69" t="s">
        <v>371</v>
      </c>
      <c r="AF74" s="69" t="s">
        <v>372</v>
      </c>
      <c r="AH74" s="121" t="s">
        <v>246</v>
      </c>
      <c r="AI74" s="69" t="s">
        <v>19</v>
      </c>
      <c r="AJ74" s="69" t="str">
        <f>VLOOKUP(UNAMA.[[#This Row],[PARCELA MATRICULA NÃO PAGA]],'[1]POS_VIVO_0112 a 3101_CAMP. REG)'!$F$115:$G$222,2,FALSE)</f>
        <v>Gestão</v>
      </c>
      <c r="AK74" s="69">
        <f>VLOOKUP(UNAMA.[[#This Row],[PARCELA MATRICULA NÃO PAGA]],'[1]POS_VIVO_0112 a 3101_CAMP. REG)'!$F$115:$H$222,3,FALSE)</f>
        <v>18</v>
      </c>
      <c r="AL74" s="69">
        <f>VLOOKUP(UNAMA.[[#This Row],[PARCELA MATRICULA NÃO PAGA]],'[1]POS_VIVO_0112 a 3101_CAMP. REG)'!$F$115:$I$222,4,FALSE)</f>
        <v>19</v>
      </c>
      <c r="AM74" s="71">
        <f>VLOOKUP(UNAMA.[[#This Row],[PARCELA MATRICULA NÃO PAGA]],'[1]POS_VIVO_0112 a 3101_CAMP. REG)'!$F$115:$J$222,5,FALSE)</f>
        <v>352.66770900000006</v>
      </c>
      <c r="AN74" s="123">
        <f>VLOOKUP(UNAMA.[[#This Row],[PARCELA MATRICULA NÃO PAGA]],'[1]POS_VIVO_0112 a 3101_CAMP. REG)'!$F$115:$L$222,7,FALSE)</f>
        <v>0.3</v>
      </c>
      <c r="AO74" s="73">
        <f>VLOOKUP(UNAMA.[[#This Row],[PARCELA MATRICULA NÃO PAGA]],'[1]POS_VIVO_0112 a 3101_CAMP. REG)'!$F$115:$M$222,8,FALSE)</f>
        <v>222.18</v>
      </c>
      <c r="AP74" s="72">
        <f>VLOOKUP(UNAMA.[[#This Row],[PARCELA MATRICULA NÃO PAGA]],'[1]POS_VIVO_0112 a 3101_CAMP. REG)'!$F$115:$P$222,11,FALSE)</f>
        <v>0.35</v>
      </c>
      <c r="AQ74" s="73">
        <f>VLOOKUP(UNAMA.[[#This Row],[PARCELA MATRICULA NÃO PAGA]],'[1]POS_VIVO_0112 a 3101_CAMP. REG)'!$F$115:$Q$222,12,FALSE)</f>
        <v>206.31</v>
      </c>
      <c r="AR74" s="68">
        <f>UNAMA.[[#This Row],[Nº Parcelas]]</f>
        <v>19</v>
      </c>
      <c r="AS74" s="68">
        <f>UNAMA.[[#This Row],[Nº Parcelas normal2]]-1</f>
        <v>18</v>
      </c>
      <c r="AT74" s="71">
        <f>UNAMA.[[#This Row],[$ NORMAL]]</f>
        <v>352.66770900000006</v>
      </c>
      <c r="AU74" s="162">
        <f>UNAMA.[[#This Row],[%  SITE]]</f>
        <v>0.3</v>
      </c>
      <c r="AV74" s="161">
        <f>UNAMA.[[#This Row],[$ SITE]]</f>
        <v>222.18</v>
      </c>
      <c r="AW74" s="162">
        <f>UNAMA.[[#This Row],[%  SGP]]</f>
        <v>0.35</v>
      </c>
      <c r="AX74" s="161">
        <f>UNAMA.[[#This Row],[$ SGP]]</f>
        <v>206.31</v>
      </c>
      <c r="AY74" s="69" t="s">
        <v>351</v>
      </c>
      <c r="AZ74" s="69" t="s">
        <v>372</v>
      </c>
      <c r="BB74" s="121" t="s">
        <v>246</v>
      </c>
      <c r="BC74" s="69" t="s">
        <v>19</v>
      </c>
      <c r="BD74" s="68" t="str">
        <f>VLOOKUP(UNG.[[#This Row],[CURSO]],'[1]POS_VIVO_0112 a 3101_CAMP. REG)'!$F$224:$G$331,2,FALSE)</f>
        <v>Gestão</v>
      </c>
      <c r="BE74" s="70">
        <f>VLOOKUP(UNG.[[#This Row],[CURSO]],'[1]POS_VIVO_0112 a 3101_CAMP. REG)'!$F$224:$H$331,3,FALSE)</f>
        <v>18</v>
      </c>
      <c r="BF74" s="70">
        <f>VLOOKUP(UNG.[[#This Row],[CURSO]],'[1]POS_VIVO_0112 a 3101_CAMP. REG)'!$F$224:$I$331,4,FALSE)</f>
        <v>19</v>
      </c>
      <c r="BG74" s="73">
        <f>VLOOKUP(UNG.[[#This Row],[CURSO]],'[1]POS_VIVO_0112 a 3101_CAMP. REG)'!$F$224:$J$331,5,FALSE)</f>
        <v>320.59937400000007</v>
      </c>
      <c r="BH74" s="72">
        <f>VLOOKUP(UNG.[[#This Row],[CURSO]],'[1]POS_VIVO_0112 a 3101_CAMP. REG)'!$F$224:$L$331,7,FALSE)</f>
        <v>0.3</v>
      </c>
      <c r="BI74" s="73">
        <f>VLOOKUP(UNG.[[#This Row],[CURSO]],'[1]POS_VIVO_0112 a 3101_CAMP. REG)'!$F$224:$M$331,8,FALSE)</f>
        <v>201.98</v>
      </c>
      <c r="BJ74" s="72">
        <f>VLOOKUP(UNG.[[#This Row],[CURSO]],'[1]POS_VIVO_0112 a 3101_CAMP. REG)'!$F$224:$P$331,11,FALSE)</f>
        <v>0.35</v>
      </c>
      <c r="BK74" s="73">
        <f>VLOOKUP(UNG.[[#This Row],[CURSO]],'[1]POS_VIVO_0112 a 3101_CAMP. REG)'!$F$224:$Q$331,12,FALSE)</f>
        <v>187.55</v>
      </c>
      <c r="BL74" s="75">
        <f>UNG.[[#This Row],[Nº Parcelas]]</f>
        <v>19</v>
      </c>
      <c r="BM74" s="75">
        <f>UNG.[[#This Row],[Nº Parcelas normal2]]-1</f>
        <v>18</v>
      </c>
      <c r="BN74" s="73">
        <f>UNG.[[#This Row],[$ NORMAL]]</f>
        <v>320.59937400000007</v>
      </c>
      <c r="BO74" s="72">
        <f>UNG.[[#This Row],[%  SITE]]</f>
        <v>0.3</v>
      </c>
      <c r="BP74" s="73">
        <f>UNG.[[#This Row],[$ SITE]]</f>
        <v>201.98</v>
      </c>
      <c r="BQ74" s="72">
        <f>UNG.[[#This Row],[%  SGP]]</f>
        <v>0.35</v>
      </c>
      <c r="BR74" s="73">
        <f>UNG.[[#This Row],[$ SGP]]</f>
        <v>187.55</v>
      </c>
      <c r="BS74" s="69" t="s">
        <v>351</v>
      </c>
      <c r="BT74" s="69" t="s">
        <v>372</v>
      </c>
      <c r="BV74" s="121" t="s">
        <v>246</v>
      </c>
      <c r="BW74" s="69" t="s">
        <v>19</v>
      </c>
      <c r="BX74" s="69" t="str">
        <f>VLOOKUP(UNINASSAU.[[#This Row],[CURSO]],'[1]POS_VIVO_0112 a 3101_CAMP. REG)'!$F$333:$G$447,2,FALSE)</f>
        <v>Gestão</v>
      </c>
      <c r="BY74" s="68">
        <f>VLOOKUP(UNINASSAU.[[#This Row],[CURSO]],'[1]POS_VIVO_0112 a 3101_CAMP. REG)'!$F$333:$H$447,3,FALSE)</f>
        <v>18</v>
      </c>
      <c r="BZ74" s="68">
        <f>VLOOKUP(UNINASSAU.[[#This Row],[CURSO]],'[1]POS_VIVO_0112 a 3101_CAMP. REG)'!$F$333:$I$447,4,FALSE)</f>
        <v>19</v>
      </c>
      <c r="CA74" s="73">
        <f>VLOOKUP(UNINASSAU.[[#This Row],[CURSO]],'[1]POS_VIVO_0112 a 3101_CAMP. REG)'!$F$333:$J$447,5,FALSE)</f>
        <v>320.59937400000007</v>
      </c>
      <c r="CB74" s="72">
        <f>VLOOKUP(UNINASSAU.[[#This Row],[CURSO]],'[1]POS_VIVO_0112 a 3101_CAMP. REG)'!$F$333:$L$447,7,FALSE)</f>
        <v>0.3</v>
      </c>
      <c r="CC74" s="73">
        <f>VLOOKUP(UNINASSAU.[[#This Row],[CURSO]],'[1]POS_VIVO_0112 a 3101_CAMP. REG)'!$F$333:$M$447,8,FALSE)</f>
        <v>201.98</v>
      </c>
      <c r="CD74" s="72">
        <f>VLOOKUP(UNINASSAU.[[#This Row],[CURSO]],'[1]POS_VIVO_0112 a 3101_CAMP. REG)'!$F$333:$P$447,11,FALSE)</f>
        <v>0.35</v>
      </c>
      <c r="CE74" s="73">
        <f>VLOOKUP(UNINASSAU.[[#This Row],[CURSO]],'[1]POS_VIVO_0112 a 3101_CAMP. REG)'!$F$333:$Q$447,12,FALSE)</f>
        <v>187.55</v>
      </c>
      <c r="CF74" s="75">
        <f>UNINASSAU.[[#This Row],[Nº Parcelas]]</f>
        <v>19</v>
      </c>
      <c r="CG74" s="75">
        <f>UNINASSAU.[[#This Row],[Nº Parcelas normal2]]-1</f>
        <v>18</v>
      </c>
      <c r="CH74" s="73">
        <f>UNINASSAU.[[#This Row],[$ NORMAL]]</f>
        <v>320.59937400000007</v>
      </c>
      <c r="CI74" s="72">
        <f>UNINASSAU.[[#This Row],[%  SITE]]</f>
        <v>0.3</v>
      </c>
      <c r="CJ74" s="73">
        <f>UNINASSAU.[[#This Row],[$ SITE]]</f>
        <v>201.98</v>
      </c>
      <c r="CK74" s="72">
        <f>UNINASSAU.[[#This Row],[%  SGP]]</f>
        <v>0.35</v>
      </c>
      <c r="CL74" s="73">
        <f>UNINASSAU.[[#This Row],[$ SGP]]</f>
        <v>187.55</v>
      </c>
      <c r="CM74" s="69" t="s">
        <v>351</v>
      </c>
      <c r="CN74" s="69" t="s">
        <v>372</v>
      </c>
      <c r="CP74" s="104">
        <v>71</v>
      </c>
      <c r="CQ74" s="121" t="s">
        <v>331</v>
      </c>
    </row>
    <row r="75" spans="14:95" ht="16.5" customHeight="1" x14ac:dyDescent="0.25">
      <c r="N75" s="121" t="s">
        <v>229</v>
      </c>
      <c r="O75" s="69" t="s">
        <v>19</v>
      </c>
      <c r="P75" s="69" t="str">
        <f>VLOOKUP(UNIFAEL.[[#This Row],[CURSO]],'[1]POS_VIVO_0112 a 3101_CAMP. REG)'!$F$5:$G$113,2,FALSE)</f>
        <v>Gestão</v>
      </c>
      <c r="Q75" s="68">
        <f>VLOOKUP(UNIFAEL.[[#This Row],[CURSO]],'[1]POS_VIVO_0112 a 3101_CAMP. REG)'!$F$5:$H$113,3,FALSE)</f>
        <v>15</v>
      </c>
      <c r="R75" s="68">
        <f>VLOOKUP(UNIFAEL.[[#This Row],[CURSO]],'[1]POS_VIVO_0112 a 3101_CAMP. REG)'!$F$5:$I$113,4,FALSE)</f>
        <v>19</v>
      </c>
      <c r="S75" s="73">
        <f>VLOOKUP(UNIFAEL.[[#This Row],[CURSO]],'[1]POS_VIVO_0112 a 3101_CAMP. REG)'!$F$5:$J$113,5,FALSE)</f>
        <v>320.59937400000007</v>
      </c>
      <c r="T75" s="124">
        <f>VLOOKUP(UNIFAEL.[[#This Row],[CURSO]],'[1]POS_VIVO_0112 a 3101_CAMP. REG)'!$F$5:$L$113,7,FALSE)</f>
        <v>0.5</v>
      </c>
      <c r="U75" s="71">
        <f>VLOOKUP(UNIFAEL.[[#This Row],[CURSO]],'[1]POS_VIVO_0112 a 3101_CAMP. REG)'!$F$5:$M$113,8,FALSE)</f>
        <v>144.27000000000001</v>
      </c>
      <c r="V75" s="72">
        <f>VLOOKUP(UNIFAEL.[[#This Row],[CURSO]],'[1]POS_VIVO_0112 a 3101_CAMP. REG)'!$F$5:$P$113,11,FALSE)</f>
        <v>0.55000000000000004</v>
      </c>
      <c r="W75" s="73">
        <f>VLOOKUP(UNIFAEL.[[#This Row],[CURSO]],'[1]POS_VIVO_0112 a 3101_CAMP. REG)'!$F$5:$Q$113,12,FALSE)</f>
        <v>129.84</v>
      </c>
      <c r="X75" s="75">
        <f>UNIFAEL.[[#This Row],[Nº Parcelas]]</f>
        <v>19</v>
      </c>
      <c r="Y75" s="75">
        <f>UNIFAEL.[[#This Row],[Nº Parcelas normal2]]-1</f>
        <v>18</v>
      </c>
      <c r="Z75" s="73">
        <f>UNIFAEL.[[#This Row],[$ NORMAL]]</f>
        <v>320.59937400000007</v>
      </c>
      <c r="AA75" s="72">
        <f>UNIFAEL.[[#This Row],[%  SITE]]</f>
        <v>0.5</v>
      </c>
      <c r="AB75" s="73">
        <f>UNIFAEL.[[#This Row],[$ SITE]]</f>
        <v>144.27000000000001</v>
      </c>
      <c r="AC75" s="72">
        <f>UNIFAEL.[[#This Row],[%  SGP]]</f>
        <v>0.55000000000000004</v>
      </c>
      <c r="AD75" s="73">
        <f>UNIFAEL.[[#This Row],[$ SGP]]</f>
        <v>129.84</v>
      </c>
      <c r="AE75" s="69" t="s">
        <v>371</v>
      </c>
      <c r="AF75" s="69" t="s">
        <v>372</v>
      </c>
      <c r="AH75" s="121" t="s">
        <v>229</v>
      </c>
      <c r="AI75" s="69" t="s">
        <v>19</v>
      </c>
      <c r="AJ75" s="69" t="str">
        <f>VLOOKUP(UNAMA.[[#This Row],[PARCELA MATRICULA NÃO PAGA]],'[1]POS_VIVO_0112 a 3101_CAMP. REG)'!$F$115:$G$222,2,FALSE)</f>
        <v>Gestão</v>
      </c>
      <c r="AK75" s="69">
        <f>VLOOKUP(UNAMA.[[#This Row],[PARCELA MATRICULA NÃO PAGA]],'[1]POS_VIVO_0112 a 3101_CAMP. REG)'!$F$115:$H$222,3,FALSE)</f>
        <v>15</v>
      </c>
      <c r="AL75" s="69">
        <f>VLOOKUP(UNAMA.[[#This Row],[PARCELA MATRICULA NÃO PAGA]],'[1]POS_VIVO_0112 a 3101_CAMP. REG)'!$F$115:$I$222,4,FALSE)</f>
        <v>19</v>
      </c>
      <c r="AM75" s="71">
        <f>VLOOKUP(UNAMA.[[#This Row],[PARCELA MATRICULA NÃO PAGA]],'[1]POS_VIVO_0112 a 3101_CAMP. REG)'!$F$115:$J$222,5,FALSE)</f>
        <v>352.66770900000006</v>
      </c>
      <c r="AN75" s="123">
        <f>VLOOKUP(UNAMA.[[#This Row],[PARCELA MATRICULA NÃO PAGA]],'[1]POS_VIVO_0112 a 3101_CAMP. REG)'!$F$115:$L$222,7,FALSE)</f>
        <v>0.5</v>
      </c>
      <c r="AO75" s="73">
        <f>VLOOKUP(UNAMA.[[#This Row],[PARCELA MATRICULA NÃO PAGA]],'[1]POS_VIVO_0112 a 3101_CAMP. REG)'!$F$115:$M$222,8,FALSE)</f>
        <v>158.69999999999999</v>
      </c>
      <c r="AP75" s="72">
        <f>VLOOKUP(UNAMA.[[#This Row],[PARCELA MATRICULA NÃO PAGA]],'[1]POS_VIVO_0112 a 3101_CAMP. REG)'!$F$115:$P$222,11,FALSE)</f>
        <v>0.55000000000000004</v>
      </c>
      <c r="AQ75" s="73">
        <f>VLOOKUP(UNAMA.[[#This Row],[PARCELA MATRICULA NÃO PAGA]],'[1]POS_VIVO_0112 a 3101_CAMP. REG)'!$F$115:$Q$222,12,FALSE)</f>
        <v>142.83000000000001</v>
      </c>
      <c r="AR75" s="68">
        <f>UNAMA.[[#This Row],[Nº Parcelas]]</f>
        <v>19</v>
      </c>
      <c r="AS75" s="68">
        <f>UNAMA.[[#This Row],[Nº Parcelas normal2]]-1</f>
        <v>18</v>
      </c>
      <c r="AT75" s="71">
        <f>UNAMA.[[#This Row],[$ NORMAL]]</f>
        <v>352.66770900000006</v>
      </c>
      <c r="AU75" s="162">
        <f>UNAMA.[[#This Row],[%  SITE]]</f>
        <v>0.5</v>
      </c>
      <c r="AV75" s="161">
        <f>UNAMA.[[#This Row],[$ SITE]]</f>
        <v>158.69999999999999</v>
      </c>
      <c r="AW75" s="162">
        <f>UNAMA.[[#This Row],[%  SGP]]</f>
        <v>0.55000000000000004</v>
      </c>
      <c r="AX75" s="161">
        <f>UNAMA.[[#This Row],[$ SGP]]</f>
        <v>142.83000000000001</v>
      </c>
      <c r="AY75" s="69" t="s">
        <v>351</v>
      </c>
      <c r="AZ75" s="69" t="s">
        <v>372</v>
      </c>
      <c r="BB75" s="121" t="s">
        <v>229</v>
      </c>
      <c r="BC75" s="69" t="s">
        <v>19</v>
      </c>
      <c r="BD75" s="68" t="str">
        <f>VLOOKUP(UNG.[[#This Row],[CURSO]],'[1]POS_VIVO_0112 a 3101_CAMP. REG)'!$F$224:$G$331,2,FALSE)</f>
        <v>Gestão</v>
      </c>
      <c r="BE75" s="70">
        <f>VLOOKUP(UNG.[[#This Row],[CURSO]],'[1]POS_VIVO_0112 a 3101_CAMP. REG)'!$F$224:$H$331,3,FALSE)</f>
        <v>15</v>
      </c>
      <c r="BF75" s="70">
        <f>VLOOKUP(UNG.[[#This Row],[CURSO]],'[1]POS_VIVO_0112 a 3101_CAMP. REG)'!$F$224:$I$331,4,FALSE)</f>
        <v>19</v>
      </c>
      <c r="BG75" s="73">
        <f>VLOOKUP(UNG.[[#This Row],[CURSO]],'[1]POS_VIVO_0112 a 3101_CAMP. REG)'!$F$224:$J$331,5,FALSE)</f>
        <v>320.59937400000007</v>
      </c>
      <c r="BH75" s="72">
        <f>VLOOKUP(UNG.[[#This Row],[CURSO]],'[1]POS_VIVO_0112 a 3101_CAMP. REG)'!$F$224:$L$331,7,FALSE)</f>
        <v>0.5</v>
      </c>
      <c r="BI75" s="73">
        <f>VLOOKUP(UNG.[[#This Row],[CURSO]],'[1]POS_VIVO_0112 a 3101_CAMP. REG)'!$F$224:$M$331,8,FALSE)</f>
        <v>144.27000000000001</v>
      </c>
      <c r="BJ75" s="72">
        <f>VLOOKUP(UNG.[[#This Row],[CURSO]],'[1]POS_VIVO_0112 a 3101_CAMP. REG)'!$F$224:$P$331,11,FALSE)</f>
        <v>0.55000000000000004</v>
      </c>
      <c r="BK75" s="73">
        <f>VLOOKUP(UNG.[[#This Row],[CURSO]],'[1]POS_VIVO_0112 a 3101_CAMP. REG)'!$F$224:$Q$331,12,FALSE)</f>
        <v>129.84</v>
      </c>
      <c r="BL75" s="75">
        <f>UNG.[[#This Row],[Nº Parcelas]]</f>
        <v>19</v>
      </c>
      <c r="BM75" s="75">
        <f>UNG.[[#This Row],[Nº Parcelas normal2]]-1</f>
        <v>18</v>
      </c>
      <c r="BN75" s="73">
        <f>UNG.[[#This Row],[$ NORMAL]]</f>
        <v>320.59937400000007</v>
      </c>
      <c r="BO75" s="72">
        <f>UNG.[[#This Row],[%  SITE]]</f>
        <v>0.5</v>
      </c>
      <c r="BP75" s="73">
        <f>UNG.[[#This Row],[$ SITE]]</f>
        <v>144.27000000000001</v>
      </c>
      <c r="BQ75" s="72">
        <f>UNG.[[#This Row],[%  SGP]]</f>
        <v>0.55000000000000004</v>
      </c>
      <c r="BR75" s="73">
        <f>UNG.[[#This Row],[$ SGP]]</f>
        <v>129.84</v>
      </c>
      <c r="BS75" s="69" t="s">
        <v>351</v>
      </c>
      <c r="BT75" s="69" t="s">
        <v>372</v>
      </c>
      <c r="BV75" s="121" t="s">
        <v>229</v>
      </c>
      <c r="BW75" s="69" t="s">
        <v>19</v>
      </c>
      <c r="BX75" s="69" t="str">
        <f>VLOOKUP(UNINASSAU.[[#This Row],[CURSO]],'[1]POS_VIVO_0112 a 3101_CAMP. REG)'!$F$333:$G$447,2,FALSE)</f>
        <v>Gestão</v>
      </c>
      <c r="BY75" s="68">
        <f>VLOOKUP(UNINASSAU.[[#This Row],[CURSO]],'[1]POS_VIVO_0112 a 3101_CAMP. REG)'!$F$333:$H$447,3,FALSE)</f>
        <v>15</v>
      </c>
      <c r="BZ75" s="68">
        <f>VLOOKUP(UNINASSAU.[[#This Row],[CURSO]],'[1]POS_VIVO_0112 a 3101_CAMP. REG)'!$F$333:$I$447,4,FALSE)</f>
        <v>19</v>
      </c>
      <c r="CA75" s="73">
        <f>VLOOKUP(UNINASSAU.[[#This Row],[CURSO]],'[1]POS_VIVO_0112 a 3101_CAMP. REG)'!$F$333:$J$447,5,FALSE)</f>
        <v>320.59937400000007</v>
      </c>
      <c r="CB75" s="72">
        <f>VLOOKUP(UNINASSAU.[[#This Row],[CURSO]],'[1]POS_VIVO_0112 a 3101_CAMP. REG)'!$F$333:$L$447,7,FALSE)</f>
        <v>0.5</v>
      </c>
      <c r="CC75" s="73">
        <f>VLOOKUP(UNINASSAU.[[#This Row],[CURSO]],'[1]POS_VIVO_0112 a 3101_CAMP. REG)'!$F$333:$M$447,8,FALSE)</f>
        <v>144.27000000000001</v>
      </c>
      <c r="CD75" s="72">
        <f>VLOOKUP(UNINASSAU.[[#This Row],[CURSO]],'[1]POS_VIVO_0112 a 3101_CAMP. REG)'!$F$333:$P$447,11,FALSE)</f>
        <v>0.55000000000000004</v>
      </c>
      <c r="CE75" s="73">
        <f>VLOOKUP(UNINASSAU.[[#This Row],[CURSO]],'[1]POS_VIVO_0112 a 3101_CAMP. REG)'!$F$333:$Q$447,12,FALSE)</f>
        <v>129.84</v>
      </c>
      <c r="CF75" s="75">
        <f>UNINASSAU.[[#This Row],[Nº Parcelas]]</f>
        <v>19</v>
      </c>
      <c r="CG75" s="75">
        <f>UNINASSAU.[[#This Row],[Nº Parcelas normal2]]-1</f>
        <v>18</v>
      </c>
      <c r="CH75" s="73">
        <f>UNINASSAU.[[#This Row],[$ NORMAL]]</f>
        <v>320.59937400000007</v>
      </c>
      <c r="CI75" s="72">
        <f>UNINASSAU.[[#This Row],[%  SITE]]</f>
        <v>0.5</v>
      </c>
      <c r="CJ75" s="73">
        <f>UNINASSAU.[[#This Row],[$ SITE]]</f>
        <v>144.27000000000001</v>
      </c>
      <c r="CK75" s="72">
        <f>UNINASSAU.[[#This Row],[%  SGP]]</f>
        <v>0.55000000000000004</v>
      </c>
      <c r="CL75" s="73">
        <f>UNINASSAU.[[#This Row],[$ SGP]]</f>
        <v>129.84</v>
      </c>
      <c r="CM75" s="69" t="s">
        <v>351</v>
      </c>
      <c r="CN75" s="69" t="s">
        <v>372</v>
      </c>
      <c r="CP75" s="104">
        <v>72</v>
      </c>
      <c r="CQ75" s="121" t="s">
        <v>177</v>
      </c>
    </row>
    <row r="76" spans="14:95" ht="16.5" customHeight="1" x14ac:dyDescent="0.25">
      <c r="N76" s="121" t="s">
        <v>182</v>
      </c>
      <c r="O76" s="69" t="s">
        <v>19</v>
      </c>
      <c r="P76" s="69" t="str">
        <f>VLOOKUP(UNIFAEL.[[#This Row],[CURSO]],'[1]POS_VIVO_0112 a 3101_CAMP. REG)'!$F$5:$G$113,2,FALSE)</f>
        <v>Educação</v>
      </c>
      <c r="Q76" s="68">
        <f>VLOOKUP(UNIFAEL.[[#This Row],[CURSO]],'[1]POS_VIVO_0112 a 3101_CAMP. REG)'!$F$5:$H$113,3,FALSE)</f>
        <v>12</v>
      </c>
      <c r="R76" s="68">
        <f>VLOOKUP(UNIFAEL.[[#This Row],[CURSO]],'[1]POS_VIVO_0112 a 3101_CAMP. REG)'!$F$5:$I$113,4,FALSE)</f>
        <v>19</v>
      </c>
      <c r="S76" s="73">
        <f>VLOOKUP(UNIFAEL.[[#This Row],[CURSO]],'[1]POS_VIVO_0112 a 3101_CAMP. REG)'!$F$5:$J$113,5,FALSE)</f>
        <v>262.27804200000003</v>
      </c>
      <c r="T76" s="124">
        <f>VLOOKUP(UNIFAEL.[[#This Row],[CURSO]],'[1]POS_VIVO_0112 a 3101_CAMP. REG)'!$F$5:$L$113,7,FALSE)</f>
        <v>0.3</v>
      </c>
      <c r="U76" s="71">
        <f>VLOOKUP(UNIFAEL.[[#This Row],[CURSO]],'[1]POS_VIVO_0112 a 3101_CAMP. REG)'!$F$5:$M$113,8,FALSE)</f>
        <v>165.24</v>
      </c>
      <c r="V76" s="72">
        <f>VLOOKUP(UNIFAEL.[[#This Row],[CURSO]],'[1]POS_VIVO_0112 a 3101_CAMP. REG)'!$F$5:$P$113,11,FALSE)</f>
        <v>0.35</v>
      </c>
      <c r="W76" s="73">
        <f>VLOOKUP(UNIFAEL.[[#This Row],[CURSO]],'[1]POS_VIVO_0112 a 3101_CAMP. REG)'!$F$5:$Q$113,12,FALSE)</f>
        <v>153.43</v>
      </c>
      <c r="X76" s="75">
        <f>UNIFAEL.[[#This Row],[Nº Parcelas]]</f>
        <v>19</v>
      </c>
      <c r="Y76" s="75">
        <f>UNIFAEL.[[#This Row],[Nº Parcelas normal2]]-1</f>
        <v>18</v>
      </c>
      <c r="Z76" s="73">
        <f>UNIFAEL.[[#This Row],[$ NORMAL]]</f>
        <v>262.27804200000003</v>
      </c>
      <c r="AA76" s="72">
        <f>UNIFAEL.[[#This Row],[%  SITE]]</f>
        <v>0.3</v>
      </c>
      <c r="AB76" s="73">
        <f>UNIFAEL.[[#This Row],[$ SITE]]</f>
        <v>165.24</v>
      </c>
      <c r="AC76" s="72">
        <f>UNIFAEL.[[#This Row],[%  SGP]]</f>
        <v>0.35</v>
      </c>
      <c r="AD76" s="73">
        <f>UNIFAEL.[[#This Row],[$ SGP]]</f>
        <v>153.43</v>
      </c>
      <c r="AE76" s="69" t="s">
        <v>371</v>
      </c>
      <c r="AF76" s="69" t="s">
        <v>372</v>
      </c>
      <c r="AH76" s="121" t="s">
        <v>182</v>
      </c>
      <c r="AI76" s="69" t="s">
        <v>19</v>
      </c>
      <c r="AJ76" s="69" t="str">
        <f>VLOOKUP(UNAMA.[[#This Row],[PARCELA MATRICULA NÃO PAGA]],'[1]POS_VIVO_0112 a 3101_CAMP. REG)'!$F$115:$G$222,2,FALSE)</f>
        <v>Educação</v>
      </c>
      <c r="AK76" s="69">
        <f>VLOOKUP(UNAMA.[[#This Row],[PARCELA MATRICULA NÃO PAGA]],'[1]POS_VIVO_0112 a 3101_CAMP. REG)'!$F$115:$H$222,3,FALSE)</f>
        <v>12</v>
      </c>
      <c r="AL76" s="69">
        <f>VLOOKUP(UNAMA.[[#This Row],[PARCELA MATRICULA NÃO PAGA]],'[1]POS_VIVO_0112 a 3101_CAMP. REG)'!$F$115:$I$222,4,FALSE)</f>
        <v>19</v>
      </c>
      <c r="AM76" s="71">
        <f>VLOOKUP(UNAMA.[[#This Row],[PARCELA MATRICULA NÃO PAGA]],'[1]POS_VIVO_0112 a 3101_CAMP. REG)'!$F$115:$J$222,5,FALSE)</f>
        <v>291.43870800000002</v>
      </c>
      <c r="AN76" s="123">
        <f>VLOOKUP(UNAMA.[[#This Row],[PARCELA MATRICULA NÃO PAGA]],'[1]POS_VIVO_0112 a 3101_CAMP. REG)'!$F$115:$L$222,7,FALSE)</f>
        <v>0.3</v>
      </c>
      <c r="AO76" s="73">
        <f>VLOOKUP(UNAMA.[[#This Row],[PARCELA MATRICULA NÃO PAGA]],'[1]POS_VIVO_0112 a 3101_CAMP. REG)'!$F$115:$M$222,8,FALSE)</f>
        <v>183.61</v>
      </c>
      <c r="AP76" s="72">
        <f>VLOOKUP(UNAMA.[[#This Row],[PARCELA MATRICULA NÃO PAGA]],'[1]POS_VIVO_0112 a 3101_CAMP. REG)'!$F$115:$P$222,11,FALSE)</f>
        <v>0.35</v>
      </c>
      <c r="AQ76" s="73">
        <f>VLOOKUP(UNAMA.[[#This Row],[PARCELA MATRICULA NÃO PAGA]],'[1]POS_VIVO_0112 a 3101_CAMP. REG)'!$F$115:$Q$222,12,FALSE)</f>
        <v>170.49</v>
      </c>
      <c r="AR76" s="68">
        <f>UNAMA.[[#This Row],[Nº Parcelas]]</f>
        <v>19</v>
      </c>
      <c r="AS76" s="68">
        <f>UNAMA.[[#This Row],[Nº Parcelas normal2]]-1</f>
        <v>18</v>
      </c>
      <c r="AT76" s="71">
        <f>UNAMA.[[#This Row],[$ NORMAL]]</f>
        <v>291.43870800000002</v>
      </c>
      <c r="AU76" s="162">
        <f>UNAMA.[[#This Row],[%  SITE]]</f>
        <v>0.3</v>
      </c>
      <c r="AV76" s="161">
        <f>UNAMA.[[#This Row],[$ SITE]]</f>
        <v>183.61</v>
      </c>
      <c r="AW76" s="162">
        <f>UNAMA.[[#This Row],[%  SGP]]</f>
        <v>0.35</v>
      </c>
      <c r="AX76" s="161">
        <f>UNAMA.[[#This Row],[$ SGP]]</f>
        <v>170.49</v>
      </c>
      <c r="AY76" s="69" t="s">
        <v>351</v>
      </c>
      <c r="AZ76" s="69" t="s">
        <v>372</v>
      </c>
      <c r="BB76" s="121" t="s">
        <v>182</v>
      </c>
      <c r="BC76" s="69" t="s">
        <v>19</v>
      </c>
      <c r="BD76" s="68" t="str">
        <f>VLOOKUP(UNG.[[#This Row],[CURSO]],'[1]POS_VIVO_0112 a 3101_CAMP. REG)'!$F$224:$G$331,2,FALSE)</f>
        <v>Educação</v>
      </c>
      <c r="BE76" s="70">
        <f>VLOOKUP(UNG.[[#This Row],[CURSO]],'[1]POS_VIVO_0112 a 3101_CAMP. REG)'!$F$224:$H$331,3,FALSE)</f>
        <v>12</v>
      </c>
      <c r="BF76" s="70">
        <f>VLOOKUP(UNG.[[#This Row],[CURSO]],'[1]POS_VIVO_0112 a 3101_CAMP. REG)'!$F$224:$I$331,4,FALSE)</f>
        <v>19</v>
      </c>
      <c r="BG76" s="73">
        <f>VLOOKUP(UNG.[[#This Row],[CURSO]],'[1]POS_VIVO_0112 a 3101_CAMP. REG)'!$F$224:$J$331,5,FALSE)</f>
        <v>262.27804200000003</v>
      </c>
      <c r="BH76" s="72">
        <f>VLOOKUP(UNG.[[#This Row],[CURSO]],'[1]POS_VIVO_0112 a 3101_CAMP. REG)'!$F$224:$L$331,7,FALSE)</f>
        <v>0.3</v>
      </c>
      <c r="BI76" s="73">
        <f>VLOOKUP(UNG.[[#This Row],[CURSO]],'[1]POS_VIVO_0112 a 3101_CAMP. REG)'!$F$224:$M$331,8,FALSE)</f>
        <v>165.24</v>
      </c>
      <c r="BJ76" s="72">
        <f>VLOOKUP(UNG.[[#This Row],[CURSO]],'[1]POS_VIVO_0112 a 3101_CAMP. REG)'!$F$224:$P$331,11,FALSE)</f>
        <v>0.35</v>
      </c>
      <c r="BK76" s="73">
        <f>VLOOKUP(UNG.[[#This Row],[CURSO]],'[1]POS_VIVO_0112 a 3101_CAMP. REG)'!$F$224:$Q$331,12,FALSE)</f>
        <v>153.43</v>
      </c>
      <c r="BL76" s="75">
        <f>UNG.[[#This Row],[Nº Parcelas]]</f>
        <v>19</v>
      </c>
      <c r="BM76" s="75">
        <f>UNG.[[#This Row],[Nº Parcelas normal2]]-1</f>
        <v>18</v>
      </c>
      <c r="BN76" s="73">
        <f>UNG.[[#This Row],[$ NORMAL]]</f>
        <v>262.27804200000003</v>
      </c>
      <c r="BO76" s="72">
        <f>UNG.[[#This Row],[%  SITE]]</f>
        <v>0.3</v>
      </c>
      <c r="BP76" s="73">
        <f>UNG.[[#This Row],[$ SITE]]</f>
        <v>165.24</v>
      </c>
      <c r="BQ76" s="72">
        <f>UNG.[[#This Row],[%  SGP]]</f>
        <v>0.35</v>
      </c>
      <c r="BR76" s="73">
        <f>UNG.[[#This Row],[$ SGP]]</f>
        <v>153.43</v>
      </c>
      <c r="BS76" s="69" t="s">
        <v>351</v>
      </c>
      <c r="BT76" s="69" t="s">
        <v>372</v>
      </c>
      <c r="BV76" s="121" t="s">
        <v>182</v>
      </c>
      <c r="BW76" s="69" t="s">
        <v>19</v>
      </c>
      <c r="BX76" s="69" t="str">
        <f>VLOOKUP(UNINASSAU.[[#This Row],[CURSO]],'[1]POS_VIVO_0112 a 3101_CAMP. REG)'!$F$333:$G$447,2,FALSE)</f>
        <v>Educação</v>
      </c>
      <c r="BY76" s="68">
        <f>VLOOKUP(UNINASSAU.[[#This Row],[CURSO]],'[1]POS_VIVO_0112 a 3101_CAMP. REG)'!$F$333:$H$447,3,FALSE)</f>
        <v>12</v>
      </c>
      <c r="BZ76" s="68">
        <f>VLOOKUP(UNINASSAU.[[#This Row],[CURSO]],'[1]POS_VIVO_0112 a 3101_CAMP. REG)'!$F$333:$I$447,4,FALSE)</f>
        <v>19</v>
      </c>
      <c r="CA76" s="73">
        <f>VLOOKUP(UNINASSAU.[[#This Row],[CURSO]],'[1]POS_VIVO_0112 a 3101_CAMP. REG)'!$F$333:$J$447,5,FALSE)</f>
        <v>262.27804200000003</v>
      </c>
      <c r="CB76" s="72">
        <f>VLOOKUP(UNINASSAU.[[#This Row],[CURSO]],'[1]POS_VIVO_0112 a 3101_CAMP. REG)'!$F$333:$L$447,7,FALSE)</f>
        <v>0.3</v>
      </c>
      <c r="CC76" s="73">
        <f>VLOOKUP(UNINASSAU.[[#This Row],[CURSO]],'[1]POS_VIVO_0112 a 3101_CAMP. REG)'!$F$333:$M$447,8,FALSE)</f>
        <v>165.24</v>
      </c>
      <c r="CD76" s="72">
        <f>VLOOKUP(UNINASSAU.[[#This Row],[CURSO]],'[1]POS_VIVO_0112 a 3101_CAMP. REG)'!$F$333:$P$447,11,FALSE)</f>
        <v>0.35</v>
      </c>
      <c r="CE76" s="73">
        <f>VLOOKUP(UNINASSAU.[[#This Row],[CURSO]],'[1]POS_VIVO_0112 a 3101_CAMP. REG)'!$F$333:$Q$447,12,FALSE)</f>
        <v>153.43</v>
      </c>
      <c r="CF76" s="75">
        <f>UNINASSAU.[[#This Row],[Nº Parcelas]]</f>
        <v>19</v>
      </c>
      <c r="CG76" s="75">
        <f>UNINASSAU.[[#This Row],[Nº Parcelas normal2]]-1</f>
        <v>18</v>
      </c>
      <c r="CH76" s="73">
        <f>UNINASSAU.[[#This Row],[$ NORMAL]]</f>
        <v>262.27804200000003</v>
      </c>
      <c r="CI76" s="72">
        <f>UNINASSAU.[[#This Row],[%  SITE]]</f>
        <v>0.3</v>
      </c>
      <c r="CJ76" s="73">
        <f>UNINASSAU.[[#This Row],[$ SITE]]</f>
        <v>165.24</v>
      </c>
      <c r="CK76" s="72">
        <f>UNINASSAU.[[#This Row],[%  SGP]]</f>
        <v>0.35</v>
      </c>
      <c r="CL76" s="73">
        <f>UNINASSAU.[[#This Row],[$ SGP]]</f>
        <v>153.43</v>
      </c>
      <c r="CM76" s="69" t="s">
        <v>351</v>
      </c>
      <c r="CN76" s="69" t="s">
        <v>372</v>
      </c>
      <c r="CP76" s="104">
        <v>73</v>
      </c>
      <c r="CQ76" s="121" t="s">
        <v>274</v>
      </c>
    </row>
    <row r="77" spans="14:95" ht="16.5" customHeight="1" x14ac:dyDescent="0.25">
      <c r="N77" s="121" t="s">
        <v>113</v>
      </c>
      <c r="O77" s="69" t="s">
        <v>19</v>
      </c>
      <c r="P77" s="69" t="str">
        <f>VLOOKUP(UNIFAEL.[[#This Row],[CURSO]],'[1]POS_VIVO_0112 a 3101_CAMP. REG)'!$F$5:$G$113,2,FALSE)</f>
        <v>Educação</v>
      </c>
      <c r="Q77" s="68">
        <f>VLOOKUP(UNIFAEL.[[#This Row],[CURSO]],'[1]POS_VIVO_0112 a 3101_CAMP. REG)'!$F$5:$H$113,3,FALSE)</f>
        <v>12</v>
      </c>
      <c r="R77" s="68">
        <f>VLOOKUP(UNIFAEL.[[#This Row],[CURSO]],'[1]POS_VIVO_0112 a 3101_CAMP. REG)'!$F$5:$I$113,4,FALSE)</f>
        <v>19</v>
      </c>
      <c r="S77" s="73">
        <f>VLOOKUP(UNIFAEL.[[#This Row],[CURSO]],'[1]POS_VIVO_0112 a 3101_CAMP. REG)'!$F$5:$J$113,5,FALSE)</f>
        <v>262.27804200000003</v>
      </c>
      <c r="T77" s="124">
        <f>VLOOKUP(UNIFAEL.[[#This Row],[CURSO]],'[1]POS_VIVO_0112 a 3101_CAMP. REG)'!$F$5:$L$113,7,FALSE)</f>
        <v>0.5</v>
      </c>
      <c r="U77" s="71">
        <f>VLOOKUP(UNIFAEL.[[#This Row],[CURSO]],'[1]POS_VIVO_0112 a 3101_CAMP. REG)'!$F$5:$M$113,8,FALSE)</f>
        <v>118.03</v>
      </c>
      <c r="V77" s="72">
        <f>VLOOKUP(UNIFAEL.[[#This Row],[CURSO]],'[1]POS_VIVO_0112 a 3101_CAMP. REG)'!$F$5:$P$113,11,FALSE)</f>
        <v>0.55000000000000004</v>
      </c>
      <c r="W77" s="73">
        <f>VLOOKUP(UNIFAEL.[[#This Row],[CURSO]],'[1]POS_VIVO_0112 a 3101_CAMP. REG)'!$F$5:$Q$113,12,FALSE)</f>
        <v>106.22</v>
      </c>
      <c r="X77" s="75">
        <f>UNIFAEL.[[#This Row],[Nº Parcelas]]</f>
        <v>19</v>
      </c>
      <c r="Y77" s="75">
        <f>UNIFAEL.[[#This Row],[Nº Parcelas normal2]]-1</f>
        <v>18</v>
      </c>
      <c r="Z77" s="73">
        <f>UNIFAEL.[[#This Row],[$ NORMAL]]</f>
        <v>262.27804200000003</v>
      </c>
      <c r="AA77" s="72">
        <f>UNIFAEL.[[#This Row],[%  SITE]]</f>
        <v>0.5</v>
      </c>
      <c r="AB77" s="73">
        <f>UNIFAEL.[[#This Row],[$ SITE]]</f>
        <v>118.03</v>
      </c>
      <c r="AC77" s="72">
        <f>UNIFAEL.[[#This Row],[%  SGP]]</f>
        <v>0.55000000000000004</v>
      </c>
      <c r="AD77" s="73">
        <f>UNIFAEL.[[#This Row],[$ SGP]]</f>
        <v>106.22</v>
      </c>
      <c r="AE77" s="69" t="s">
        <v>371</v>
      </c>
      <c r="AF77" s="69" t="s">
        <v>372</v>
      </c>
      <c r="AH77" s="121" t="s">
        <v>113</v>
      </c>
      <c r="AI77" s="69" t="s">
        <v>19</v>
      </c>
      <c r="AJ77" s="69" t="str">
        <f>VLOOKUP(UNAMA.[[#This Row],[PARCELA MATRICULA NÃO PAGA]],'[1]POS_VIVO_0112 a 3101_CAMP. REG)'!$F$115:$G$222,2,FALSE)</f>
        <v>Educação</v>
      </c>
      <c r="AK77" s="69">
        <f>VLOOKUP(UNAMA.[[#This Row],[PARCELA MATRICULA NÃO PAGA]],'[1]POS_VIVO_0112 a 3101_CAMP. REG)'!$F$115:$H$222,3,FALSE)</f>
        <v>12</v>
      </c>
      <c r="AL77" s="69">
        <f>VLOOKUP(UNAMA.[[#This Row],[PARCELA MATRICULA NÃO PAGA]],'[1]POS_VIVO_0112 a 3101_CAMP. REG)'!$F$115:$I$222,4,FALSE)</f>
        <v>19</v>
      </c>
      <c r="AM77" s="71">
        <f>VLOOKUP(UNAMA.[[#This Row],[PARCELA MATRICULA NÃO PAGA]],'[1]POS_VIVO_0112 a 3101_CAMP. REG)'!$F$115:$J$222,5,FALSE)</f>
        <v>291.43870800000002</v>
      </c>
      <c r="AN77" s="123">
        <f>VLOOKUP(UNAMA.[[#This Row],[PARCELA MATRICULA NÃO PAGA]],'[1]POS_VIVO_0112 a 3101_CAMP. REG)'!$F$115:$L$222,7,FALSE)</f>
        <v>0.5</v>
      </c>
      <c r="AO77" s="73">
        <f>VLOOKUP(UNAMA.[[#This Row],[PARCELA MATRICULA NÃO PAGA]],'[1]POS_VIVO_0112 a 3101_CAMP. REG)'!$F$115:$M$222,8,FALSE)</f>
        <v>131.15</v>
      </c>
      <c r="AP77" s="72">
        <f>VLOOKUP(UNAMA.[[#This Row],[PARCELA MATRICULA NÃO PAGA]],'[1]POS_VIVO_0112 a 3101_CAMP. REG)'!$F$115:$P$222,11,FALSE)</f>
        <v>0.55000000000000004</v>
      </c>
      <c r="AQ77" s="73">
        <f>VLOOKUP(UNAMA.[[#This Row],[PARCELA MATRICULA NÃO PAGA]],'[1]POS_VIVO_0112 a 3101_CAMP. REG)'!$F$115:$Q$222,12,FALSE)</f>
        <v>118.03</v>
      </c>
      <c r="AR77" s="68">
        <f>UNAMA.[[#This Row],[Nº Parcelas]]</f>
        <v>19</v>
      </c>
      <c r="AS77" s="68">
        <f>UNAMA.[[#This Row],[Nº Parcelas normal2]]-1</f>
        <v>18</v>
      </c>
      <c r="AT77" s="71">
        <f>UNAMA.[[#This Row],[$ NORMAL]]</f>
        <v>291.43870800000002</v>
      </c>
      <c r="AU77" s="162">
        <f>UNAMA.[[#This Row],[%  SITE]]</f>
        <v>0.5</v>
      </c>
      <c r="AV77" s="161">
        <f>UNAMA.[[#This Row],[$ SITE]]</f>
        <v>131.15</v>
      </c>
      <c r="AW77" s="162">
        <f>UNAMA.[[#This Row],[%  SGP]]</f>
        <v>0.55000000000000004</v>
      </c>
      <c r="AX77" s="161">
        <f>UNAMA.[[#This Row],[$ SGP]]</f>
        <v>118.03</v>
      </c>
      <c r="AY77" s="69" t="s">
        <v>351</v>
      </c>
      <c r="AZ77" s="69" t="s">
        <v>372</v>
      </c>
      <c r="BB77" s="121" t="s">
        <v>113</v>
      </c>
      <c r="BC77" s="69" t="s">
        <v>19</v>
      </c>
      <c r="BD77" s="68" t="str">
        <f>VLOOKUP(UNG.[[#This Row],[CURSO]],'[1]POS_VIVO_0112 a 3101_CAMP. REG)'!$F$224:$G$331,2,FALSE)</f>
        <v>Educação</v>
      </c>
      <c r="BE77" s="70">
        <f>VLOOKUP(UNG.[[#This Row],[CURSO]],'[1]POS_VIVO_0112 a 3101_CAMP. REG)'!$F$224:$H$331,3,FALSE)</f>
        <v>12</v>
      </c>
      <c r="BF77" s="70">
        <f>VLOOKUP(UNG.[[#This Row],[CURSO]],'[1]POS_VIVO_0112 a 3101_CAMP. REG)'!$F$224:$I$331,4,FALSE)</f>
        <v>19</v>
      </c>
      <c r="BG77" s="73">
        <f>VLOOKUP(UNG.[[#This Row],[CURSO]],'[1]POS_VIVO_0112 a 3101_CAMP. REG)'!$F$224:$J$331,5,FALSE)</f>
        <v>262.27804200000003</v>
      </c>
      <c r="BH77" s="72">
        <f>VLOOKUP(UNG.[[#This Row],[CURSO]],'[1]POS_VIVO_0112 a 3101_CAMP. REG)'!$F$224:$L$331,7,FALSE)</f>
        <v>0.5</v>
      </c>
      <c r="BI77" s="73">
        <f>VLOOKUP(UNG.[[#This Row],[CURSO]],'[1]POS_VIVO_0112 a 3101_CAMP. REG)'!$F$224:$M$331,8,FALSE)</f>
        <v>118.03</v>
      </c>
      <c r="BJ77" s="72">
        <f>VLOOKUP(UNG.[[#This Row],[CURSO]],'[1]POS_VIVO_0112 a 3101_CAMP. REG)'!$F$224:$P$331,11,FALSE)</f>
        <v>0.55000000000000004</v>
      </c>
      <c r="BK77" s="73">
        <f>VLOOKUP(UNG.[[#This Row],[CURSO]],'[1]POS_VIVO_0112 a 3101_CAMP. REG)'!$F$224:$Q$331,12,FALSE)</f>
        <v>106.22</v>
      </c>
      <c r="BL77" s="75">
        <f>UNG.[[#This Row],[Nº Parcelas]]</f>
        <v>19</v>
      </c>
      <c r="BM77" s="75">
        <f>UNG.[[#This Row],[Nº Parcelas normal2]]-1</f>
        <v>18</v>
      </c>
      <c r="BN77" s="73">
        <f>UNG.[[#This Row],[$ NORMAL]]</f>
        <v>262.27804200000003</v>
      </c>
      <c r="BO77" s="72">
        <f>UNG.[[#This Row],[%  SITE]]</f>
        <v>0.5</v>
      </c>
      <c r="BP77" s="73">
        <f>UNG.[[#This Row],[$ SITE]]</f>
        <v>118.03</v>
      </c>
      <c r="BQ77" s="72">
        <f>UNG.[[#This Row],[%  SGP]]</f>
        <v>0.55000000000000004</v>
      </c>
      <c r="BR77" s="73">
        <f>UNG.[[#This Row],[$ SGP]]</f>
        <v>106.22</v>
      </c>
      <c r="BS77" s="69" t="s">
        <v>351</v>
      </c>
      <c r="BT77" s="69" t="s">
        <v>372</v>
      </c>
      <c r="BV77" s="121" t="s">
        <v>113</v>
      </c>
      <c r="BW77" s="69" t="s">
        <v>19</v>
      </c>
      <c r="BX77" s="69" t="str">
        <f>VLOOKUP(UNINASSAU.[[#This Row],[CURSO]],'[1]POS_VIVO_0112 a 3101_CAMP. REG)'!$F$333:$G$447,2,FALSE)</f>
        <v>Educação</v>
      </c>
      <c r="BY77" s="68">
        <f>VLOOKUP(UNINASSAU.[[#This Row],[CURSO]],'[1]POS_VIVO_0112 a 3101_CAMP. REG)'!$F$333:$H$447,3,FALSE)</f>
        <v>12</v>
      </c>
      <c r="BZ77" s="68">
        <f>VLOOKUP(UNINASSAU.[[#This Row],[CURSO]],'[1]POS_VIVO_0112 a 3101_CAMP. REG)'!$F$333:$I$447,4,FALSE)</f>
        <v>19</v>
      </c>
      <c r="CA77" s="73">
        <f>VLOOKUP(UNINASSAU.[[#This Row],[CURSO]],'[1]POS_VIVO_0112 a 3101_CAMP. REG)'!$F$333:$J$447,5,FALSE)</f>
        <v>262.27804200000003</v>
      </c>
      <c r="CB77" s="72">
        <f>VLOOKUP(UNINASSAU.[[#This Row],[CURSO]],'[1]POS_VIVO_0112 a 3101_CAMP. REG)'!$F$333:$L$447,7,FALSE)</f>
        <v>0.5</v>
      </c>
      <c r="CC77" s="73">
        <f>VLOOKUP(UNINASSAU.[[#This Row],[CURSO]],'[1]POS_VIVO_0112 a 3101_CAMP. REG)'!$F$333:$M$447,8,FALSE)</f>
        <v>118.03</v>
      </c>
      <c r="CD77" s="72">
        <f>VLOOKUP(UNINASSAU.[[#This Row],[CURSO]],'[1]POS_VIVO_0112 a 3101_CAMP. REG)'!$F$333:$P$447,11,FALSE)</f>
        <v>0.55000000000000004</v>
      </c>
      <c r="CE77" s="73">
        <f>VLOOKUP(UNINASSAU.[[#This Row],[CURSO]],'[1]POS_VIVO_0112 a 3101_CAMP. REG)'!$F$333:$Q$447,12,FALSE)</f>
        <v>106.22</v>
      </c>
      <c r="CF77" s="75">
        <f>UNINASSAU.[[#This Row],[Nº Parcelas]]</f>
        <v>19</v>
      </c>
      <c r="CG77" s="75">
        <f>UNINASSAU.[[#This Row],[Nº Parcelas normal2]]-1</f>
        <v>18</v>
      </c>
      <c r="CH77" s="73">
        <f>UNINASSAU.[[#This Row],[$ NORMAL]]</f>
        <v>262.27804200000003</v>
      </c>
      <c r="CI77" s="72">
        <f>UNINASSAU.[[#This Row],[%  SITE]]</f>
        <v>0.5</v>
      </c>
      <c r="CJ77" s="73">
        <f>UNINASSAU.[[#This Row],[$ SITE]]</f>
        <v>118.03</v>
      </c>
      <c r="CK77" s="72">
        <f>UNINASSAU.[[#This Row],[%  SGP]]</f>
        <v>0.55000000000000004</v>
      </c>
      <c r="CL77" s="73">
        <f>UNINASSAU.[[#This Row],[$ SGP]]</f>
        <v>106.22</v>
      </c>
      <c r="CM77" s="69" t="s">
        <v>351</v>
      </c>
      <c r="CN77" s="69" t="s">
        <v>372</v>
      </c>
      <c r="CP77" s="104">
        <v>74</v>
      </c>
      <c r="CQ77" s="121" t="s">
        <v>333</v>
      </c>
    </row>
    <row r="78" spans="14:95" ht="16.5" customHeight="1" x14ac:dyDescent="0.25">
      <c r="N78" s="121" t="s">
        <v>274</v>
      </c>
      <c r="O78" s="69" t="s">
        <v>19</v>
      </c>
      <c r="P78" s="69" t="str">
        <f>VLOOKUP(UNIFAEL.[[#This Row],[CURSO]],'[1]POS_VIVO_0112 a 3101_CAMP. REG)'!$F$5:$G$113,2,FALSE)</f>
        <v>Saúde</v>
      </c>
      <c r="Q78" s="68">
        <f>VLOOKUP(UNIFAEL.[[#This Row],[CURSO]],'[1]POS_VIVO_0112 a 3101_CAMP. REG)'!$F$5:$H$113,3,FALSE)</f>
        <v>12</v>
      </c>
      <c r="R78" s="68">
        <f>VLOOKUP(UNIFAEL.[[#This Row],[CURSO]],'[1]POS_VIVO_0112 a 3101_CAMP. REG)'!$F$5:$I$113,4,FALSE)</f>
        <v>19</v>
      </c>
      <c r="S78" s="73">
        <f>VLOOKUP(UNIFAEL.[[#This Row],[CURSO]],'[1]POS_VIVO_0112 a 3101_CAMP. REG)'!$F$5:$J$113,5,FALSE)</f>
        <v>291.43870800000002</v>
      </c>
      <c r="T78" s="124">
        <f>VLOOKUP(UNIFAEL.[[#This Row],[CURSO]],'[1]POS_VIVO_0112 a 3101_CAMP. REG)'!$F$5:$L$113,7,FALSE)</f>
        <v>0.5</v>
      </c>
      <c r="U78" s="71">
        <f>VLOOKUP(UNIFAEL.[[#This Row],[CURSO]],'[1]POS_VIVO_0112 a 3101_CAMP. REG)'!$F$5:$M$113,8,FALSE)</f>
        <v>131.15</v>
      </c>
      <c r="V78" s="72">
        <f>VLOOKUP(UNIFAEL.[[#This Row],[CURSO]],'[1]POS_VIVO_0112 a 3101_CAMP. REG)'!$F$5:$P$113,11,FALSE)</f>
        <v>0.55000000000000004</v>
      </c>
      <c r="W78" s="73">
        <f>VLOOKUP(UNIFAEL.[[#This Row],[CURSO]],'[1]POS_VIVO_0112 a 3101_CAMP. REG)'!$F$5:$Q$113,12,FALSE)</f>
        <v>118.03</v>
      </c>
      <c r="X78" s="75">
        <f>UNIFAEL.[[#This Row],[Nº Parcelas]]</f>
        <v>19</v>
      </c>
      <c r="Y78" s="75">
        <f>UNIFAEL.[[#This Row],[Nº Parcelas normal2]]-1</f>
        <v>18</v>
      </c>
      <c r="Z78" s="73">
        <f>UNIFAEL.[[#This Row],[$ NORMAL]]</f>
        <v>291.43870800000002</v>
      </c>
      <c r="AA78" s="72">
        <f>UNIFAEL.[[#This Row],[%  SITE]]</f>
        <v>0.5</v>
      </c>
      <c r="AB78" s="73">
        <f>UNIFAEL.[[#This Row],[$ SITE]]</f>
        <v>131.15</v>
      </c>
      <c r="AC78" s="72">
        <f>UNIFAEL.[[#This Row],[%  SGP]]</f>
        <v>0.55000000000000004</v>
      </c>
      <c r="AD78" s="73">
        <f>UNIFAEL.[[#This Row],[$ SGP]]</f>
        <v>118.03</v>
      </c>
      <c r="AE78" s="69" t="s">
        <v>371</v>
      </c>
      <c r="AF78" s="69" t="s">
        <v>372</v>
      </c>
      <c r="AH78" s="121" t="s">
        <v>274</v>
      </c>
      <c r="AI78" s="69" t="s">
        <v>19</v>
      </c>
      <c r="AJ78" s="69" t="str">
        <f>VLOOKUP(UNAMA.[[#This Row],[PARCELA MATRICULA NÃO PAGA]],'[1]POS_VIVO_0112 a 3101_CAMP. REG)'!$F$115:$G$222,2,FALSE)</f>
        <v>Saúde</v>
      </c>
      <c r="AK78" s="69">
        <f>VLOOKUP(UNAMA.[[#This Row],[PARCELA MATRICULA NÃO PAGA]],'[1]POS_VIVO_0112 a 3101_CAMP. REG)'!$F$115:$H$222,3,FALSE)</f>
        <v>12</v>
      </c>
      <c r="AL78" s="69">
        <f>VLOOKUP(UNAMA.[[#This Row],[PARCELA MATRICULA NÃO PAGA]],'[1]POS_VIVO_0112 a 3101_CAMP. REG)'!$F$115:$I$222,4,FALSE)</f>
        <v>19</v>
      </c>
      <c r="AM78" s="71">
        <f>VLOOKUP(UNAMA.[[#This Row],[PARCELA MATRICULA NÃO PAGA]],'[1]POS_VIVO_0112 a 3101_CAMP. REG)'!$F$115:$J$222,5,FALSE)</f>
        <v>320.59937400000007</v>
      </c>
      <c r="AN78" s="123">
        <f>VLOOKUP(UNAMA.[[#This Row],[PARCELA MATRICULA NÃO PAGA]],'[1]POS_VIVO_0112 a 3101_CAMP. REG)'!$F$115:$L$222,7,FALSE)</f>
        <v>0.5</v>
      </c>
      <c r="AO78" s="73">
        <f>VLOOKUP(UNAMA.[[#This Row],[PARCELA MATRICULA NÃO PAGA]],'[1]POS_VIVO_0112 a 3101_CAMP. REG)'!$F$115:$M$222,8,FALSE)</f>
        <v>144.27000000000001</v>
      </c>
      <c r="AP78" s="72">
        <f>VLOOKUP(UNAMA.[[#This Row],[PARCELA MATRICULA NÃO PAGA]],'[1]POS_VIVO_0112 a 3101_CAMP. REG)'!$F$115:$P$222,11,FALSE)</f>
        <v>0.55000000000000004</v>
      </c>
      <c r="AQ78" s="73">
        <f>VLOOKUP(UNAMA.[[#This Row],[PARCELA MATRICULA NÃO PAGA]],'[1]POS_VIVO_0112 a 3101_CAMP. REG)'!$F$115:$Q$222,12,FALSE)</f>
        <v>129.84</v>
      </c>
      <c r="AR78" s="68">
        <f>UNAMA.[[#This Row],[Nº Parcelas]]</f>
        <v>19</v>
      </c>
      <c r="AS78" s="68">
        <f>UNAMA.[[#This Row],[Nº Parcelas normal2]]-1</f>
        <v>18</v>
      </c>
      <c r="AT78" s="71">
        <f>UNAMA.[[#This Row],[$ NORMAL]]</f>
        <v>320.59937400000007</v>
      </c>
      <c r="AU78" s="162">
        <f>UNAMA.[[#This Row],[%  SITE]]</f>
        <v>0.5</v>
      </c>
      <c r="AV78" s="161">
        <f>UNAMA.[[#This Row],[$ SITE]]</f>
        <v>144.27000000000001</v>
      </c>
      <c r="AW78" s="162">
        <f>UNAMA.[[#This Row],[%  SGP]]</f>
        <v>0.55000000000000004</v>
      </c>
      <c r="AX78" s="161">
        <f>UNAMA.[[#This Row],[$ SGP]]</f>
        <v>129.84</v>
      </c>
      <c r="AY78" s="69" t="s">
        <v>351</v>
      </c>
      <c r="AZ78" s="69" t="s">
        <v>372</v>
      </c>
      <c r="BB78" s="121" t="s">
        <v>274</v>
      </c>
      <c r="BC78" s="69" t="s">
        <v>19</v>
      </c>
      <c r="BD78" s="68" t="str">
        <f>VLOOKUP(UNG.[[#This Row],[CURSO]],'[1]POS_VIVO_0112 a 3101_CAMP. REG)'!$F$224:$G$331,2,FALSE)</f>
        <v>Saúde</v>
      </c>
      <c r="BE78" s="70">
        <f>VLOOKUP(UNG.[[#This Row],[CURSO]],'[1]POS_VIVO_0112 a 3101_CAMP. REG)'!$F$224:$H$331,3,FALSE)</f>
        <v>12</v>
      </c>
      <c r="BF78" s="70">
        <f>VLOOKUP(UNG.[[#This Row],[CURSO]],'[1]POS_VIVO_0112 a 3101_CAMP. REG)'!$F$224:$I$331,4,FALSE)</f>
        <v>19</v>
      </c>
      <c r="BG78" s="73">
        <f>VLOOKUP(UNG.[[#This Row],[CURSO]],'[1]POS_VIVO_0112 a 3101_CAMP. REG)'!$F$224:$J$331,5,FALSE)</f>
        <v>291.43870800000002</v>
      </c>
      <c r="BH78" s="72">
        <f>VLOOKUP(UNG.[[#This Row],[CURSO]],'[1]POS_VIVO_0112 a 3101_CAMP. REG)'!$F$224:$L$331,7,FALSE)</f>
        <v>0.5</v>
      </c>
      <c r="BI78" s="73">
        <f>VLOOKUP(UNG.[[#This Row],[CURSO]],'[1]POS_VIVO_0112 a 3101_CAMP. REG)'!$F$224:$M$331,8,FALSE)</f>
        <v>131.15</v>
      </c>
      <c r="BJ78" s="72">
        <f>VLOOKUP(UNG.[[#This Row],[CURSO]],'[1]POS_VIVO_0112 a 3101_CAMP. REG)'!$F$224:$P$331,11,FALSE)</f>
        <v>0.55000000000000004</v>
      </c>
      <c r="BK78" s="73">
        <f>VLOOKUP(UNG.[[#This Row],[CURSO]],'[1]POS_VIVO_0112 a 3101_CAMP. REG)'!$F$224:$Q$331,12,FALSE)</f>
        <v>118.03</v>
      </c>
      <c r="BL78" s="75">
        <f>UNG.[[#This Row],[Nº Parcelas]]</f>
        <v>19</v>
      </c>
      <c r="BM78" s="75">
        <f>UNG.[[#This Row],[Nº Parcelas normal2]]-1</f>
        <v>18</v>
      </c>
      <c r="BN78" s="73">
        <f>UNG.[[#This Row],[$ NORMAL]]</f>
        <v>291.43870800000002</v>
      </c>
      <c r="BO78" s="72">
        <f>UNG.[[#This Row],[%  SITE]]</f>
        <v>0.5</v>
      </c>
      <c r="BP78" s="73">
        <f>UNG.[[#This Row],[$ SITE]]</f>
        <v>131.15</v>
      </c>
      <c r="BQ78" s="72">
        <f>UNG.[[#This Row],[%  SGP]]</f>
        <v>0.55000000000000004</v>
      </c>
      <c r="BR78" s="73">
        <f>UNG.[[#This Row],[$ SGP]]</f>
        <v>118.03</v>
      </c>
      <c r="BS78" s="69" t="s">
        <v>351</v>
      </c>
      <c r="BT78" s="69" t="s">
        <v>372</v>
      </c>
      <c r="BV78" s="121" t="s">
        <v>274</v>
      </c>
      <c r="BW78" s="69" t="s">
        <v>19</v>
      </c>
      <c r="BX78" s="69" t="str">
        <f>VLOOKUP(UNINASSAU.[[#This Row],[CURSO]],'[1]POS_VIVO_0112 a 3101_CAMP. REG)'!$F$333:$G$447,2,FALSE)</f>
        <v>Saúde</v>
      </c>
      <c r="BY78" s="68">
        <f>VLOOKUP(UNINASSAU.[[#This Row],[CURSO]],'[1]POS_VIVO_0112 a 3101_CAMP. REG)'!$F$333:$H$447,3,FALSE)</f>
        <v>12</v>
      </c>
      <c r="BZ78" s="68">
        <f>VLOOKUP(UNINASSAU.[[#This Row],[CURSO]],'[1]POS_VIVO_0112 a 3101_CAMP. REG)'!$F$333:$I$447,4,FALSE)</f>
        <v>19</v>
      </c>
      <c r="CA78" s="73">
        <f>VLOOKUP(UNINASSAU.[[#This Row],[CURSO]],'[1]POS_VIVO_0112 a 3101_CAMP. REG)'!$F$333:$J$447,5,FALSE)</f>
        <v>291.43870800000002</v>
      </c>
      <c r="CB78" s="72">
        <f>VLOOKUP(UNINASSAU.[[#This Row],[CURSO]],'[1]POS_VIVO_0112 a 3101_CAMP. REG)'!$F$333:$L$447,7,FALSE)</f>
        <v>0.5</v>
      </c>
      <c r="CC78" s="73">
        <f>VLOOKUP(UNINASSAU.[[#This Row],[CURSO]],'[1]POS_VIVO_0112 a 3101_CAMP. REG)'!$F$333:$M$447,8,FALSE)</f>
        <v>131.15</v>
      </c>
      <c r="CD78" s="72">
        <f>VLOOKUP(UNINASSAU.[[#This Row],[CURSO]],'[1]POS_VIVO_0112 a 3101_CAMP. REG)'!$F$333:$P$447,11,FALSE)</f>
        <v>0.55000000000000004</v>
      </c>
      <c r="CE78" s="73">
        <f>VLOOKUP(UNINASSAU.[[#This Row],[CURSO]],'[1]POS_VIVO_0112 a 3101_CAMP. REG)'!$F$333:$Q$447,12,FALSE)</f>
        <v>118.03</v>
      </c>
      <c r="CF78" s="75">
        <f>UNINASSAU.[[#This Row],[Nº Parcelas]]</f>
        <v>19</v>
      </c>
      <c r="CG78" s="75">
        <f>UNINASSAU.[[#This Row],[Nº Parcelas normal2]]-1</f>
        <v>18</v>
      </c>
      <c r="CH78" s="73">
        <f>UNINASSAU.[[#This Row],[$ NORMAL]]</f>
        <v>291.43870800000002</v>
      </c>
      <c r="CI78" s="72">
        <f>UNINASSAU.[[#This Row],[%  SITE]]</f>
        <v>0.5</v>
      </c>
      <c r="CJ78" s="73">
        <f>UNINASSAU.[[#This Row],[$ SITE]]</f>
        <v>131.15</v>
      </c>
      <c r="CK78" s="72">
        <f>UNINASSAU.[[#This Row],[%  SGP]]</f>
        <v>0.55000000000000004</v>
      </c>
      <c r="CL78" s="73">
        <f>UNINASSAU.[[#This Row],[$ SGP]]</f>
        <v>118.03</v>
      </c>
      <c r="CM78" s="69" t="s">
        <v>351</v>
      </c>
      <c r="CN78" s="69" t="s">
        <v>372</v>
      </c>
      <c r="CP78" s="104">
        <v>75</v>
      </c>
      <c r="CQ78" s="121" t="s">
        <v>292</v>
      </c>
    </row>
    <row r="79" spans="14:95" ht="16.5" customHeight="1" x14ac:dyDescent="0.25">
      <c r="N79" s="121" t="s">
        <v>276</v>
      </c>
      <c r="O79" s="69" t="s">
        <v>19</v>
      </c>
      <c r="P79" s="69" t="str">
        <f>VLOOKUP(UNIFAEL.[[#This Row],[CURSO]],'[1]POS_VIVO_0112 a 3101_CAMP. REG)'!$F$5:$G$113,2,FALSE)</f>
        <v>Saúde</v>
      </c>
      <c r="Q79" s="68">
        <f>VLOOKUP(UNIFAEL.[[#This Row],[CURSO]],'[1]POS_VIVO_0112 a 3101_CAMP. REG)'!$F$5:$H$113,3,FALSE)</f>
        <v>12</v>
      </c>
      <c r="R79" s="68">
        <f>VLOOKUP(UNIFAEL.[[#This Row],[CURSO]],'[1]POS_VIVO_0112 a 3101_CAMP. REG)'!$F$5:$I$113,4,FALSE)</f>
        <v>19</v>
      </c>
      <c r="S79" s="73">
        <f>VLOOKUP(UNIFAEL.[[#This Row],[CURSO]],'[1]POS_VIVO_0112 a 3101_CAMP. REG)'!$F$5:$J$113,5,FALSE)</f>
        <v>291.43870800000002</v>
      </c>
      <c r="T79" s="124">
        <f>VLOOKUP(UNIFAEL.[[#This Row],[CURSO]],'[1]POS_VIVO_0112 a 3101_CAMP. REG)'!$F$5:$L$113,7,FALSE)</f>
        <v>0.5</v>
      </c>
      <c r="U79" s="71">
        <f>VLOOKUP(UNIFAEL.[[#This Row],[CURSO]],'[1]POS_VIVO_0112 a 3101_CAMP. REG)'!$F$5:$M$113,8,FALSE)</f>
        <v>131.15</v>
      </c>
      <c r="V79" s="72">
        <f>VLOOKUP(UNIFAEL.[[#This Row],[CURSO]],'[1]POS_VIVO_0112 a 3101_CAMP. REG)'!$F$5:$P$113,11,FALSE)</f>
        <v>0.55000000000000004</v>
      </c>
      <c r="W79" s="73">
        <f>VLOOKUP(UNIFAEL.[[#This Row],[CURSO]],'[1]POS_VIVO_0112 a 3101_CAMP. REG)'!$F$5:$Q$113,12,FALSE)</f>
        <v>118.03</v>
      </c>
      <c r="X79" s="75">
        <f>UNIFAEL.[[#This Row],[Nº Parcelas]]</f>
        <v>19</v>
      </c>
      <c r="Y79" s="75">
        <f>UNIFAEL.[[#This Row],[Nº Parcelas normal2]]-1</f>
        <v>18</v>
      </c>
      <c r="Z79" s="73">
        <f>UNIFAEL.[[#This Row],[$ NORMAL]]</f>
        <v>291.43870800000002</v>
      </c>
      <c r="AA79" s="72">
        <f>UNIFAEL.[[#This Row],[%  SITE]]</f>
        <v>0.5</v>
      </c>
      <c r="AB79" s="73">
        <f>UNIFAEL.[[#This Row],[$ SITE]]</f>
        <v>131.15</v>
      </c>
      <c r="AC79" s="72">
        <f>UNIFAEL.[[#This Row],[%  SGP]]</f>
        <v>0.55000000000000004</v>
      </c>
      <c r="AD79" s="73">
        <f>UNIFAEL.[[#This Row],[$ SGP]]</f>
        <v>118.03</v>
      </c>
      <c r="AE79" s="69" t="s">
        <v>371</v>
      </c>
      <c r="AF79" s="69" t="s">
        <v>372</v>
      </c>
      <c r="AH79" s="121" t="s">
        <v>276</v>
      </c>
      <c r="AI79" s="69" t="s">
        <v>19</v>
      </c>
      <c r="AJ79" s="69" t="str">
        <f>VLOOKUP(UNAMA.[[#This Row],[PARCELA MATRICULA NÃO PAGA]],'[1]POS_VIVO_0112 a 3101_CAMP. REG)'!$F$115:$G$222,2,FALSE)</f>
        <v>Saúde</v>
      </c>
      <c r="AK79" s="69">
        <f>VLOOKUP(UNAMA.[[#This Row],[PARCELA MATRICULA NÃO PAGA]],'[1]POS_VIVO_0112 a 3101_CAMP. REG)'!$F$115:$H$222,3,FALSE)</f>
        <v>12</v>
      </c>
      <c r="AL79" s="69">
        <f>VLOOKUP(UNAMA.[[#This Row],[PARCELA MATRICULA NÃO PAGA]],'[1]POS_VIVO_0112 a 3101_CAMP. REG)'!$F$115:$I$222,4,FALSE)</f>
        <v>19</v>
      </c>
      <c r="AM79" s="71">
        <f>VLOOKUP(UNAMA.[[#This Row],[PARCELA MATRICULA NÃO PAGA]],'[1]POS_VIVO_0112 a 3101_CAMP. REG)'!$F$115:$J$222,5,FALSE)</f>
        <v>320.59937400000007</v>
      </c>
      <c r="AN79" s="123">
        <f>VLOOKUP(UNAMA.[[#This Row],[PARCELA MATRICULA NÃO PAGA]],'[1]POS_VIVO_0112 a 3101_CAMP. REG)'!$F$115:$L$222,7,FALSE)</f>
        <v>0.5</v>
      </c>
      <c r="AO79" s="73">
        <f>VLOOKUP(UNAMA.[[#This Row],[PARCELA MATRICULA NÃO PAGA]],'[1]POS_VIVO_0112 a 3101_CAMP. REG)'!$F$115:$M$222,8,FALSE)</f>
        <v>144.27000000000001</v>
      </c>
      <c r="AP79" s="72">
        <f>VLOOKUP(UNAMA.[[#This Row],[PARCELA MATRICULA NÃO PAGA]],'[1]POS_VIVO_0112 a 3101_CAMP. REG)'!$F$115:$P$222,11,FALSE)</f>
        <v>0.55000000000000004</v>
      </c>
      <c r="AQ79" s="73">
        <f>VLOOKUP(UNAMA.[[#This Row],[PARCELA MATRICULA NÃO PAGA]],'[1]POS_VIVO_0112 a 3101_CAMP. REG)'!$F$115:$Q$222,12,FALSE)</f>
        <v>129.84</v>
      </c>
      <c r="AR79" s="68">
        <f>UNAMA.[[#This Row],[Nº Parcelas]]</f>
        <v>19</v>
      </c>
      <c r="AS79" s="68">
        <f>UNAMA.[[#This Row],[Nº Parcelas normal2]]-1</f>
        <v>18</v>
      </c>
      <c r="AT79" s="71">
        <f>UNAMA.[[#This Row],[$ NORMAL]]</f>
        <v>320.59937400000007</v>
      </c>
      <c r="AU79" s="162">
        <f>UNAMA.[[#This Row],[%  SITE]]</f>
        <v>0.5</v>
      </c>
      <c r="AV79" s="161">
        <f>UNAMA.[[#This Row],[$ SITE]]</f>
        <v>144.27000000000001</v>
      </c>
      <c r="AW79" s="162">
        <f>UNAMA.[[#This Row],[%  SGP]]</f>
        <v>0.55000000000000004</v>
      </c>
      <c r="AX79" s="161">
        <f>UNAMA.[[#This Row],[$ SGP]]</f>
        <v>129.84</v>
      </c>
      <c r="AY79" s="69" t="s">
        <v>351</v>
      </c>
      <c r="AZ79" s="69" t="s">
        <v>372</v>
      </c>
      <c r="BB79" s="121" t="s">
        <v>276</v>
      </c>
      <c r="BC79" s="69" t="s">
        <v>19</v>
      </c>
      <c r="BD79" s="68" t="str">
        <f>VLOOKUP(UNG.[[#This Row],[CURSO]],'[1]POS_VIVO_0112 a 3101_CAMP. REG)'!$F$224:$G$331,2,FALSE)</f>
        <v>Saúde</v>
      </c>
      <c r="BE79" s="70">
        <f>VLOOKUP(UNG.[[#This Row],[CURSO]],'[1]POS_VIVO_0112 a 3101_CAMP. REG)'!$F$224:$H$331,3,FALSE)</f>
        <v>12</v>
      </c>
      <c r="BF79" s="70">
        <f>VLOOKUP(UNG.[[#This Row],[CURSO]],'[1]POS_VIVO_0112 a 3101_CAMP. REG)'!$F$224:$I$331,4,FALSE)</f>
        <v>19</v>
      </c>
      <c r="BG79" s="73">
        <f>VLOOKUP(UNG.[[#This Row],[CURSO]],'[1]POS_VIVO_0112 a 3101_CAMP. REG)'!$F$224:$J$331,5,FALSE)</f>
        <v>291.43870800000002</v>
      </c>
      <c r="BH79" s="72">
        <f>VLOOKUP(UNG.[[#This Row],[CURSO]],'[1]POS_VIVO_0112 a 3101_CAMP. REG)'!$F$224:$L$331,7,FALSE)</f>
        <v>0.5</v>
      </c>
      <c r="BI79" s="73">
        <f>VLOOKUP(UNG.[[#This Row],[CURSO]],'[1]POS_VIVO_0112 a 3101_CAMP. REG)'!$F$224:$M$331,8,FALSE)</f>
        <v>131.15</v>
      </c>
      <c r="BJ79" s="72">
        <f>VLOOKUP(UNG.[[#This Row],[CURSO]],'[1]POS_VIVO_0112 a 3101_CAMP. REG)'!$F$224:$P$331,11,FALSE)</f>
        <v>0.55000000000000004</v>
      </c>
      <c r="BK79" s="73">
        <f>VLOOKUP(UNG.[[#This Row],[CURSO]],'[1]POS_VIVO_0112 a 3101_CAMP. REG)'!$F$224:$Q$331,12,FALSE)</f>
        <v>118.03</v>
      </c>
      <c r="BL79" s="75">
        <f>UNG.[[#This Row],[Nº Parcelas]]</f>
        <v>19</v>
      </c>
      <c r="BM79" s="75">
        <f>UNG.[[#This Row],[Nº Parcelas normal2]]-1</f>
        <v>18</v>
      </c>
      <c r="BN79" s="73">
        <f>UNG.[[#This Row],[$ NORMAL]]</f>
        <v>291.43870800000002</v>
      </c>
      <c r="BO79" s="72">
        <f>UNG.[[#This Row],[%  SITE]]</f>
        <v>0.5</v>
      </c>
      <c r="BP79" s="73">
        <f>UNG.[[#This Row],[$ SITE]]</f>
        <v>131.15</v>
      </c>
      <c r="BQ79" s="72">
        <f>UNG.[[#This Row],[%  SGP]]</f>
        <v>0.55000000000000004</v>
      </c>
      <c r="BR79" s="73">
        <f>UNG.[[#This Row],[$ SGP]]</f>
        <v>118.03</v>
      </c>
      <c r="BS79" s="69" t="s">
        <v>351</v>
      </c>
      <c r="BT79" s="69" t="s">
        <v>372</v>
      </c>
      <c r="BV79" s="121" t="s">
        <v>276</v>
      </c>
      <c r="BW79" s="69" t="s">
        <v>19</v>
      </c>
      <c r="BX79" s="69" t="str">
        <f>VLOOKUP(UNINASSAU.[[#This Row],[CURSO]],'[1]POS_VIVO_0112 a 3101_CAMP. REG)'!$F$333:$G$447,2,FALSE)</f>
        <v>Saúde</v>
      </c>
      <c r="BY79" s="68">
        <f>VLOOKUP(UNINASSAU.[[#This Row],[CURSO]],'[1]POS_VIVO_0112 a 3101_CAMP. REG)'!$F$333:$H$447,3,FALSE)</f>
        <v>12</v>
      </c>
      <c r="BZ79" s="68">
        <f>VLOOKUP(UNINASSAU.[[#This Row],[CURSO]],'[1]POS_VIVO_0112 a 3101_CAMP. REG)'!$F$333:$I$447,4,FALSE)</f>
        <v>19</v>
      </c>
      <c r="CA79" s="73">
        <f>VLOOKUP(UNINASSAU.[[#This Row],[CURSO]],'[1]POS_VIVO_0112 a 3101_CAMP. REG)'!$F$333:$J$447,5,FALSE)</f>
        <v>291.43870800000002</v>
      </c>
      <c r="CB79" s="72">
        <f>VLOOKUP(UNINASSAU.[[#This Row],[CURSO]],'[1]POS_VIVO_0112 a 3101_CAMP. REG)'!$F$333:$L$447,7,FALSE)</f>
        <v>0.5</v>
      </c>
      <c r="CC79" s="73">
        <f>VLOOKUP(UNINASSAU.[[#This Row],[CURSO]],'[1]POS_VIVO_0112 a 3101_CAMP. REG)'!$F$333:$M$447,8,FALSE)</f>
        <v>131.15</v>
      </c>
      <c r="CD79" s="72">
        <f>VLOOKUP(UNINASSAU.[[#This Row],[CURSO]],'[1]POS_VIVO_0112 a 3101_CAMP. REG)'!$F$333:$P$447,11,FALSE)</f>
        <v>0.55000000000000004</v>
      </c>
      <c r="CE79" s="73">
        <f>VLOOKUP(UNINASSAU.[[#This Row],[CURSO]],'[1]POS_VIVO_0112 a 3101_CAMP. REG)'!$F$333:$Q$447,12,FALSE)</f>
        <v>118.03</v>
      </c>
      <c r="CF79" s="75">
        <f>UNINASSAU.[[#This Row],[Nº Parcelas]]</f>
        <v>19</v>
      </c>
      <c r="CG79" s="75">
        <f>UNINASSAU.[[#This Row],[Nº Parcelas normal2]]-1</f>
        <v>18</v>
      </c>
      <c r="CH79" s="73">
        <f>UNINASSAU.[[#This Row],[$ NORMAL]]</f>
        <v>291.43870800000002</v>
      </c>
      <c r="CI79" s="72">
        <f>UNINASSAU.[[#This Row],[%  SITE]]</f>
        <v>0.5</v>
      </c>
      <c r="CJ79" s="73">
        <f>UNINASSAU.[[#This Row],[$ SITE]]</f>
        <v>131.15</v>
      </c>
      <c r="CK79" s="72">
        <f>UNINASSAU.[[#This Row],[%  SGP]]</f>
        <v>0.55000000000000004</v>
      </c>
      <c r="CL79" s="73">
        <f>UNINASSAU.[[#This Row],[$ SGP]]</f>
        <v>118.03</v>
      </c>
      <c r="CM79" s="69" t="s">
        <v>351</v>
      </c>
      <c r="CN79" s="69" t="s">
        <v>372</v>
      </c>
      <c r="CP79" s="104">
        <v>76</v>
      </c>
      <c r="CQ79" s="121" t="s">
        <v>182</v>
      </c>
    </row>
    <row r="80" spans="14:95" ht="16.5" customHeight="1" x14ac:dyDescent="0.25">
      <c r="N80" s="121" t="s">
        <v>289</v>
      </c>
      <c r="O80" s="69" t="s">
        <v>19</v>
      </c>
      <c r="P80" s="69" t="str">
        <f>VLOOKUP(UNIFAEL.[[#This Row],[CURSO]],'[1]POS_VIVO_0112 a 3101_CAMP. REG)'!$F$5:$G$113,2,FALSE)</f>
        <v>Saúde</v>
      </c>
      <c r="Q80" s="68">
        <f>VLOOKUP(UNIFAEL.[[#This Row],[CURSO]],'[1]POS_VIVO_0112 a 3101_CAMP. REG)'!$F$5:$H$113,3,FALSE)</f>
        <v>12</v>
      </c>
      <c r="R80" s="68">
        <f>VLOOKUP(UNIFAEL.[[#This Row],[CURSO]],'[1]POS_VIVO_0112 a 3101_CAMP. REG)'!$F$5:$I$113,4,FALSE)</f>
        <v>19</v>
      </c>
      <c r="S80" s="73">
        <f>VLOOKUP(UNIFAEL.[[#This Row],[CURSO]],'[1]POS_VIVO_0112 a 3101_CAMP. REG)'!$F$5:$J$113,5,FALSE)</f>
        <v>291.43870800000002</v>
      </c>
      <c r="T80" s="124">
        <f>VLOOKUP(UNIFAEL.[[#This Row],[CURSO]],'[1]POS_VIVO_0112 a 3101_CAMP. REG)'!$F$5:$L$113,7,FALSE)</f>
        <v>0.5</v>
      </c>
      <c r="U80" s="71">
        <f>VLOOKUP(UNIFAEL.[[#This Row],[CURSO]],'[1]POS_VIVO_0112 a 3101_CAMP. REG)'!$F$5:$M$113,8,FALSE)</f>
        <v>131.15</v>
      </c>
      <c r="V80" s="72">
        <f>VLOOKUP(UNIFAEL.[[#This Row],[CURSO]],'[1]POS_VIVO_0112 a 3101_CAMP. REG)'!$F$5:$P$113,11,FALSE)</f>
        <v>0.55000000000000004</v>
      </c>
      <c r="W80" s="73">
        <f>VLOOKUP(UNIFAEL.[[#This Row],[CURSO]],'[1]POS_VIVO_0112 a 3101_CAMP. REG)'!$F$5:$Q$113,12,FALSE)</f>
        <v>118.03</v>
      </c>
      <c r="X80" s="75">
        <f>UNIFAEL.[[#This Row],[Nº Parcelas]]</f>
        <v>19</v>
      </c>
      <c r="Y80" s="75">
        <f>UNIFAEL.[[#This Row],[Nº Parcelas normal2]]-1</f>
        <v>18</v>
      </c>
      <c r="Z80" s="73">
        <f>UNIFAEL.[[#This Row],[$ NORMAL]]</f>
        <v>291.43870800000002</v>
      </c>
      <c r="AA80" s="72">
        <f>UNIFAEL.[[#This Row],[%  SITE]]</f>
        <v>0.5</v>
      </c>
      <c r="AB80" s="73">
        <f>UNIFAEL.[[#This Row],[$ SITE]]</f>
        <v>131.15</v>
      </c>
      <c r="AC80" s="72">
        <f>UNIFAEL.[[#This Row],[%  SGP]]</f>
        <v>0.55000000000000004</v>
      </c>
      <c r="AD80" s="73">
        <f>UNIFAEL.[[#This Row],[$ SGP]]</f>
        <v>118.03</v>
      </c>
      <c r="AE80" s="69" t="s">
        <v>371</v>
      </c>
      <c r="AF80" s="69" t="s">
        <v>372</v>
      </c>
      <c r="AH80" s="121" t="s">
        <v>289</v>
      </c>
      <c r="AI80" s="69" t="s">
        <v>19</v>
      </c>
      <c r="AJ80" s="69" t="str">
        <f>VLOOKUP(UNAMA.[[#This Row],[PARCELA MATRICULA NÃO PAGA]],'[1]POS_VIVO_0112 a 3101_CAMP. REG)'!$F$115:$G$222,2,FALSE)</f>
        <v>Saúde</v>
      </c>
      <c r="AK80" s="69">
        <f>VLOOKUP(UNAMA.[[#This Row],[PARCELA MATRICULA NÃO PAGA]],'[1]POS_VIVO_0112 a 3101_CAMP. REG)'!$F$115:$H$222,3,FALSE)</f>
        <v>12</v>
      </c>
      <c r="AL80" s="69">
        <f>VLOOKUP(UNAMA.[[#This Row],[PARCELA MATRICULA NÃO PAGA]],'[1]POS_VIVO_0112 a 3101_CAMP. REG)'!$F$115:$I$222,4,FALSE)</f>
        <v>19</v>
      </c>
      <c r="AM80" s="71">
        <f>VLOOKUP(UNAMA.[[#This Row],[PARCELA MATRICULA NÃO PAGA]],'[1]POS_VIVO_0112 a 3101_CAMP. REG)'!$F$115:$J$222,5,FALSE)</f>
        <v>320.59937400000007</v>
      </c>
      <c r="AN80" s="123">
        <f>VLOOKUP(UNAMA.[[#This Row],[PARCELA MATRICULA NÃO PAGA]],'[1]POS_VIVO_0112 a 3101_CAMP. REG)'!$F$115:$L$222,7,FALSE)</f>
        <v>0.5</v>
      </c>
      <c r="AO80" s="73">
        <f>VLOOKUP(UNAMA.[[#This Row],[PARCELA MATRICULA NÃO PAGA]],'[1]POS_VIVO_0112 a 3101_CAMP. REG)'!$F$115:$M$222,8,FALSE)</f>
        <v>144.27000000000001</v>
      </c>
      <c r="AP80" s="72">
        <f>VLOOKUP(UNAMA.[[#This Row],[PARCELA MATRICULA NÃO PAGA]],'[1]POS_VIVO_0112 a 3101_CAMP. REG)'!$F$115:$P$222,11,FALSE)</f>
        <v>0.55000000000000004</v>
      </c>
      <c r="AQ80" s="73">
        <f>VLOOKUP(UNAMA.[[#This Row],[PARCELA MATRICULA NÃO PAGA]],'[1]POS_VIVO_0112 a 3101_CAMP. REG)'!$F$115:$Q$222,12,FALSE)</f>
        <v>129.84</v>
      </c>
      <c r="AR80" s="68">
        <f>UNAMA.[[#This Row],[Nº Parcelas]]</f>
        <v>19</v>
      </c>
      <c r="AS80" s="68">
        <f>UNAMA.[[#This Row],[Nº Parcelas normal2]]-1</f>
        <v>18</v>
      </c>
      <c r="AT80" s="71">
        <f>UNAMA.[[#This Row],[$ NORMAL]]</f>
        <v>320.59937400000007</v>
      </c>
      <c r="AU80" s="162">
        <f>UNAMA.[[#This Row],[%  SITE]]</f>
        <v>0.5</v>
      </c>
      <c r="AV80" s="161">
        <f>UNAMA.[[#This Row],[$ SITE]]</f>
        <v>144.27000000000001</v>
      </c>
      <c r="AW80" s="162">
        <f>UNAMA.[[#This Row],[%  SGP]]</f>
        <v>0.55000000000000004</v>
      </c>
      <c r="AX80" s="161">
        <f>UNAMA.[[#This Row],[$ SGP]]</f>
        <v>129.84</v>
      </c>
      <c r="AY80" s="69" t="s">
        <v>351</v>
      </c>
      <c r="AZ80" s="69" t="s">
        <v>372</v>
      </c>
      <c r="BB80" s="121" t="s">
        <v>289</v>
      </c>
      <c r="BC80" s="69" t="s">
        <v>19</v>
      </c>
      <c r="BD80" s="68" t="str">
        <f>VLOOKUP(UNG.[[#This Row],[CURSO]],'[1]POS_VIVO_0112 a 3101_CAMP. REG)'!$F$224:$G$331,2,FALSE)</f>
        <v>Saúde</v>
      </c>
      <c r="BE80" s="70">
        <f>VLOOKUP(UNG.[[#This Row],[CURSO]],'[1]POS_VIVO_0112 a 3101_CAMP. REG)'!$F$224:$H$331,3,FALSE)</f>
        <v>12</v>
      </c>
      <c r="BF80" s="70">
        <f>VLOOKUP(UNG.[[#This Row],[CURSO]],'[1]POS_VIVO_0112 a 3101_CAMP. REG)'!$F$224:$I$331,4,FALSE)</f>
        <v>19</v>
      </c>
      <c r="BG80" s="73">
        <f>VLOOKUP(UNG.[[#This Row],[CURSO]],'[1]POS_VIVO_0112 a 3101_CAMP. REG)'!$F$224:$J$331,5,FALSE)</f>
        <v>291.43870800000002</v>
      </c>
      <c r="BH80" s="72">
        <f>VLOOKUP(UNG.[[#This Row],[CURSO]],'[1]POS_VIVO_0112 a 3101_CAMP. REG)'!$F$224:$L$331,7,FALSE)</f>
        <v>0.5</v>
      </c>
      <c r="BI80" s="73">
        <f>VLOOKUP(UNG.[[#This Row],[CURSO]],'[1]POS_VIVO_0112 a 3101_CAMP. REG)'!$F$224:$M$331,8,FALSE)</f>
        <v>131.15</v>
      </c>
      <c r="BJ80" s="72">
        <f>VLOOKUP(UNG.[[#This Row],[CURSO]],'[1]POS_VIVO_0112 a 3101_CAMP. REG)'!$F$224:$P$331,11,FALSE)</f>
        <v>0.55000000000000004</v>
      </c>
      <c r="BK80" s="73">
        <f>VLOOKUP(UNG.[[#This Row],[CURSO]],'[1]POS_VIVO_0112 a 3101_CAMP. REG)'!$F$224:$Q$331,12,FALSE)</f>
        <v>118.03</v>
      </c>
      <c r="BL80" s="75">
        <f>UNG.[[#This Row],[Nº Parcelas]]</f>
        <v>19</v>
      </c>
      <c r="BM80" s="75">
        <f>UNG.[[#This Row],[Nº Parcelas normal2]]-1</f>
        <v>18</v>
      </c>
      <c r="BN80" s="73">
        <f>UNG.[[#This Row],[$ NORMAL]]</f>
        <v>291.43870800000002</v>
      </c>
      <c r="BO80" s="72">
        <f>UNG.[[#This Row],[%  SITE]]</f>
        <v>0.5</v>
      </c>
      <c r="BP80" s="73">
        <f>UNG.[[#This Row],[$ SITE]]</f>
        <v>131.15</v>
      </c>
      <c r="BQ80" s="72">
        <f>UNG.[[#This Row],[%  SGP]]</f>
        <v>0.55000000000000004</v>
      </c>
      <c r="BR80" s="73">
        <f>UNG.[[#This Row],[$ SGP]]</f>
        <v>118.03</v>
      </c>
      <c r="BS80" s="69" t="s">
        <v>351</v>
      </c>
      <c r="BT80" s="69" t="s">
        <v>372</v>
      </c>
      <c r="BV80" s="121" t="s">
        <v>289</v>
      </c>
      <c r="BW80" s="69" t="s">
        <v>19</v>
      </c>
      <c r="BX80" s="69" t="str">
        <f>VLOOKUP(UNINASSAU.[[#This Row],[CURSO]],'[1]POS_VIVO_0112 a 3101_CAMP. REG)'!$F$333:$G$447,2,FALSE)</f>
        <v>Saúde</v>
      </c>
      <c r="BY80" s="68">
        <f>VLOOKUP(UNINASSAU.[[#This Row],[CURSO]],'[1]POS_VIVO_0112 a 3101_CAMP. REG)'!$F$333:$H$447,3,FALSE)</f>
        <v>12</v>
      </c>
      <c r="BZ80" s="68">
        <f>VLOOKUP(UNINASSAU.[[#This Row],[CURSO]],'[1]POS_VIVO_0112 a 3101_CAMP. REG)'!$F$333:$I$447,4,FALSE)</f>
        <v>19</v>
      </c>
      <c r="CA80" s="73">
        <f>VLOOKUP(UNINASSAU.[[#This Row],[CURSO]],'[1]POS_VIVO_0112 a 3101_CAMP. REG)'!$F$333:$J$447,5,FALSE)</f>
        <v>291.43870800000002</v>
      </c>
      <c r="CB80" s="72">
        <f>VLOOKUP(UNINASSAU.[[#This Row],[CURSO]],'[1]POS_VIVO_0112 a 3101_CAMP. REG)'!$F$333:$L$447,7,FALSE)</f>
        <v>0.5</v>
      </c>
      <c r="CC80" s="73">
        <f>VLOOKUP(UNINASSAU.[[#This Row],[CURSO]],'[1]POS_VIVO_0112 a 3101_CAMP. REG)'!$F$333:$M$447,8,FALSE)</f>
        <v>131.15</v>
      </c>
      <c r="CD80" s="72">
        <f>VLOOKUP(UNINASSAU.[[#This Row],[CURSO]],'[1]POS_VIVO_0112 a 3101_CAMP. REG)'!$F$333:$P$447,11,FALSE)</f>
        <v>0.55000000000000004</v>
      </c>
      <c r="CE80" s="73">
        <f>VLOOKUP(UNINASSAU.[[#This Row],[CURSO]],'[1]POS_VIVO_0112 a 3101_CAMP. REG)'!$F$333:$Q$447,12,FALSE)</f>
        <v>118.03</v>
      </c>
      <c r="CF80" s="75">
        <f>UNINASSAU.[[#This Row],[Nº Parcelas]]</f>
        <v>19</v>
      </c>
      <c r="CG80" s="75">
        <f>UNINASSAU.[[#This Row],[Nº Parcelas normal2]]-1</f>
        <v>18</v>
      </c>
      <c r="CH80" s="73">
        <f>UNINASSAU.[[#This Row],[$ NORMAL]]</f>
        <v>291.43870800000002</v>
      </c>
      <c r="CI80" s="72">
        <f>UNINASSAU.[[#This Row],[%  SITE]]</f>
        <v>0.5</v>
      </c>
      <c r="CJ80" s="73">
        <f>UNINASSAU.[[#This Row],[$ SITE]]</f>
        <v>131.15</v>
      </c>
      <c r="CK80" s="72">
        <f>UNINASSAU.[[#This Row],[%  SGP]]</f>
        <v>0.55000000000000004</v>
      </c>
      <c r="CL80" s="73">
        <f>UNINASSAU.[[#This Row],[$ SGP]]</f>
        <v>118.03</v>
      </c>
      <c r="CM80" s="69" t="s">
        <v>351</v>
      </c>
      <c r="CN80" s="69" t="s">
        <v>372</v>
      </c>
      <c r="CP80" s="104">
        <v>77</v>
      </c>
      <c r="CQ80" s="121" t="s">
        <v>348</v>
      </c>
    </row>
    <row r="81" spans="14:95" ht="16.5" customHeight="1" x14ac:dyDescent="0.25">
      <c r="N81" s="121" t="s">
        <v>277</v>
      </c>
      <c r="O81" s="69" t="s">
        <v>19</v>
      </c>
      <c r="P81" s="69" t="str">
        <f>VLOOKUP(UNIFAEL.[[#This Row],[CURSO]],'[1]POS_VIVO_0112 a 3101_CAMP. REG)'!$F$5:$G$113,2,FALSE)</f>
        <v>Saúde</v>
      </c>
      <c r="Q81" s="68">
        <f>VLOOKUP(UNIFAEL.[[#This Row],[CURSO]],'[1]POS_VIVO_0112 a 3101_CAMP. REG)'!$F$5:$H$113,3,FALSE)</f>
        <v>12</v>
      </c>
      <c r="R81" s="68">
        <f>VLOOKUP(UNIFAEL.[[#This Row],[CURSO]],'[1]POS_VIVO_0112 a 3101_CAMP. REG)'!$F$5:$I$113,4,FALSE)</f>
        <v>19</v>
      </c>
      <c r="S81" s="73">
        <f>VLOOKUP(UNIFAEL.[[#This Row],[CURSO]],'[1]POS_VIVO_0112 a 3101_CAMP. REG)'!$F$5:$J$113,5,FALSE)</f>
        <v>291.43870800000002</v>
      </c>
      <c r="T81" s="124">
        <f>VLOOKUP(UNIFAEL.[[#This Row],[CURSO]],'[1]POS_VIVO_0112 a 3101_CAMP. REG)'!$F$5:$L$113,7,FALSE)</f>
        <v>0.5</v>
      </c>
      <c r="U81" s="71">
        <f>VLOOKUP(UNIFAEL.[[#This Row],[CURSO]],'[1]POS_VIVO_0112 a 3101_CAMP. REG)'!$F$5:$M$113,8,FALSE)</f>
        <v>131.15</v>
      </c>
      <c r="V81" s="72">
        <f>VLOOKUP(UNIFAEL.[[#This Row],[CURSO]],'[1]POS_VIVO_0112 a 3101_CAMP. REG)'!$F$5:$P$113,11,FALSE)</f>
        <v>0.55000000000000004</v>
      </c>
      <c r="W81" s="73">
        <f>VLOOKUP(UNIFAEL.[[#This Row],[CURSO]],'[1]POS_VIVO_0112 a 3101_CAMP. REG)'!$F$5:$Q$113,12,FALSE)</f>
        <v>118.03</v>
      </c>
      <c r="X81" s="75">
        <f>UNIFAEL.[[#This Row],[Nº Parcelas]]</f>
        <v>19</v>
      </c>
      <c r="Y81" s="75">
        <f>UNIFAEL.[[#This Row],[Nº Parcelas normal2]]-1</f>
        <v>18</v>
      </c>
      <c r="Z81" s="73">
        <f>UNIFAEL.[[#This Row],[$ NORMAL]]</f>
        <v>291.43870800000002</v>
      </c>
      <c r="AA81" s="72">
        <f>UNIFAEL.[[#This Row],[%  SITE]]</f>
        <v>0.5</v>
      </c>
      <c r="AB81" s="73">
        <f>UNIFAEL.[[#This Row],[$ SITE]]</f>
        <v>131.15</v>
      </c>
      <c r="AC81" s="72">
        <f>UNIFAEL.[[#This Row],[%  SGP]]</f>
        <v>0.55000000000000004</v>
      </c>
      <c r="AD81" s="73">
        <f>UNIFAEL.[[#This Row],[$ SGP]]</f>
        <v>118.03</v>
      </c>
      <c r="AE81" s="69" t="s">
        <v>371</v>
      </c>
      <c r="AF81" s="69" t="s">
        <v>372</v>
      </c>
      <c r="AH81" s="121" t="s">
        <v>277</v>
      </c>
      <c r="AI81" s="69" t="s">
        <v>19</v>
      </c>
      <c r="AJ81" s="69" t="str">
        <f>VLOOKUP(UNAMA.[[#This Row],[PARCELA MATRICULA NÃO PAGA]],'[1]POS_VIVO_0112 a 3101_CAMP. REG)'!$F$115:$G$222,2,FALSE)</f>
        <v>Saúde</v>
      </c>
      <c r="AK81" s="69">
        <f>VLOOKUP(UNAMA.[[#This Row],[PARCELA MATRICULA NÃO PAGA]],'[1]POS_VIVO_0112 a 3101_CAMP. REG)'!$F$115:$H$222,3,FALSE)</f>
        <v>12</v>
      </c>
      <c r="AL81" s="69">
        <f>VLOOKUP(UNAMA.[[#This Row],[PARCELA MATRICULA NÃO PAGA]],'[1]POS_VIVO_0112 a 3101_CAMP. REG)'!$F$115:$I$222,4,FALSE)</f>
        <v>19</v>
      </c>
      <c r="AM81" s="71">
        <f>VLOOKUP(UNAMA.[[#This Row],[PARCELA MATRICULA NÃO PAGA]],'[1]POS_VIVO_0112 a 3101_CAMP. REG)'!$F$115:$J$222,5,FALSE)</f>
        <v>320.59937400000007</v>
      </c>
      <c r="AN81" s="123">
        <f>VLOOKUP(UNAMA.[[#This Row],[PARCELA MATRICULA NÃO PAGA]],'[1]POS_VIVO_0112 a 3101_CAMP. REG)'!$F$115:$L$222,7,FALSE)</f>
        <v>0.5</v>
      </c>
      <c r="AO81" s="73">
        <f>VLOOKUP(UNAMA.[[#This Row],[PARCELA MATRICULA NÃO PAGA]],'[1]POS_VIVO_0112 a 3101_CAMP. REG)'!$F$115:$M$222,8,FALSE)</f>
        <v>144.27000000000001</v>
      </c>
      <c r="AP81" s="72">
        <f>VLOOKUP(UNAMA.[[#This Row],[PARCELA MATRICULA NÃO PAGA]],'[1]POS_VIVO_0112 a 3101_CAMP. REG)'!$F$115:$P$222,11,FALSE)</f>
        <v>0.55000000000000004</v>
      </c>
      <c r="AQ81" s="73">
        <f>VLOOKUP(UNAMA.[[#This Row],[PARCELA MATRICULA NÃO PAGA]],'[1]POS_VIVO_0112 a 3101_CAMP. REG)'!$F$115:$Q$222,12,FALSE)</f>
        <v>129.84</v>
      </c>
      <c r="AR81" s="68">
        <f>UNAMA.[[#This Row],[Nº Parcelas]]</f>
        <v>19</v>
      </c>
      <c r="AS81" s="68">
        <f>UNAMA.[[#This Row],[Nº Parcelas normal2]]-1</f>
        <v>18</v>
      </c>
      <c r="AT81" s="71">
        <f>UNAMA.[[#This Row],[$ NORMAL]]</f>
        <v>320.59937400000007</v>
      </c>
      <c r="AU81" s="162">
        <f>UNAMA.[[#This Row],[%  SITE]]</f>
        <v>0.5</v>
      </c>
      <c r="AV81" s="161">
        <f>UNAMA.[[#This Row],[$ SITE]]</f>
        <v>144.27000000000001</v>
      </c>
      <c r="AW81" s="162">
        <f>UNAMA.[[#This Row],[%  SGP]]</f>
        <v>0.55000000000000004</v>
      </c>
      <c r="AX81" s="161">
        <f>UNAMA.[[#This Row],[$ SGP]]</f>
        <v>129.84</v>
      </c>
      <c r="AY81" s="69" t="s">
        <v>351</v>
      </c>
      <c r="AZ81" s="69" t="s">
        <v>372</v>
      </c>
      <c r="BB81" s="121" t="s">
        <v>277</v>
      </c>
      <c r="BC81" s="69" t="s">
        <v>19</v>
      </c>
      <c r="BD81" s="68" t="str">
        <f>VLOOKUP(UNG.[[#This Row],[CURSO]],'[1]POS_VIVO_0112 a 3101_CAMP. REG)'!$F$224:$G$331,2,FALSE)</f>
        <v>Saúde</v>
      </c>
      <c r="BE81" s="70">
        <f>VLOOKUP(UNG.[[#This Row],[CURSO]],'[1]POS_VIVO_0112 a 3101_CAMP. REG)'!$F$224:$H$331,3,FALSE)</f>
        <v>12</v>
      </c>
      <c r="BF81" s="70">
        <f>VLOOKUP(UNG.[[#This Row],[CURSO]],'[1]POS_VIVO_0112 a 3101_CAMP. REG)'!$F$224:$I$331,4,FALSE)</f>
        <v>19</v>
      </c>
      <c r="BG81" s="73">
        <f>VLOOKUP(UNG.[[#This Row],[CURSO]],'[1]POS_VIVO_0112 a 3101_CAMP. REG)'!$F$224:$J$331,5,FALSE)</f>
        <v>291.43870800000002</v>
      </c>
      <c r="BH81" s="72">
        <f>VLOOKUP(UNG.[[#This Row],[CURSO]],'[1]POS_VIVO_0112 a 3101_CAMP. REG)'!$F$224:$L$331,7,FALSE)</f>
        <v>0.5</v>
      </c>
      <c r="BI81" s="73">
        <f>VLOOKUP(UNG.[[#This Row],[CURSO]],'[1]POS_VIVO_0112 a 3101_CAMP. REG)'!$F$224:$M$331,8,FALSE)</f>
        <v>131.15</v>
      </c>
      <c r="BJ81" s="72">
        <f>VLOOKUP(UNG.[[#This Row],[CURSO]],'[1]POS_VIVO_0112 a 3101_CAMP. REG)'!$F$224:$P$331,11,FALSE)</f>
        <v>0.55000000000000004</v>
      </c>
      <c r="BK81" s="73">
        <f>VLOOKUP(UNG.[[#This Row],[CURSO]],'[1]POS_VIVO_0112 a 3101_CAMP. REG)'!$F$224:$Q$331,12,FALSE)</f>
        <v>118.03</v>
      </c>
      <c r="BL81" s="75">
        <f>UNG.[[#This Row],[Nº Parcelas]]</f>
        <v>19</v>
      </c>
      <c r="BM81" s="75">
        <f>UNG.[[#This Row],[Nº Parcelas normal2]]-1</f>
        <v>18</v>
      </c>
      <c r="BN81" s="73">
        <f>UNG.[[#This Row],[$ NORMAL]]</f>
        <v>291.43870800000002</v>
      </c>
      <c r="BO81" s="72">
        <f>UNG.[[#This Row],[%  SITE]]</f>
        <v>0.5</v>
      </c>
      <c r="BP81" s="73">
        <f>UNG.[[#This Row],[$ SITE]]</f>
        <v>131.15</v>
      </c>
      <c r="BQ81" s="72">
        <f>UNG.[[#This Row],[%  SGP]]</f>
        <v>0.55000000000000004</v>
      </c>
      <c r="BR81" s="73">
        <f>UNG.[[#This Row],[$ SGP]]</f>
        <v>118.03</v>
      </c>
      <c r="BS81" s="69" t="s">
        <v>351</v>
      </c>
      <c r="BT81" s="69" t="s">
        <v>372</v>
      </c>
      <c r="BV81" s="121" t="s">
        <v>277</v>
      </c>
      <c r="BW81" s="69" t="s">
        <v>19</v>
      </c>
      <c r="BX81" s="69" t="str">
        <f>VLOOKUP(UNINASSAU.[[#This Row],[CURSO]],'[1]POS_VIVO_0112 a 3101_CAMP. REG)'!$F$333:$G$447,2,FALSE)</f>
        <v>Saúde</v>
      </c>
      <c r="BY81" s="68">
        <f>VLOOKUP(UNINASSAU.[[#This Row],[CURSO]],'[1]POS_VIVO_0112 a 3101_CAMP. REG)'!$F$333:$H$447,3,FALSE)</f>
        <v>12</v>
      </c>
      <c r="BZ81" s="68">
        <f>VLOOKUP(UNINASSAU.[[#This Row],[CURSO]],'[1]POS_VIVO_0112 a 3101_CAMP. REG)'!$F$333:$I$447,4,FALSE)</f>
        <v>19</v>
      </c>
      <c r="CA81" s="73">
        <f>VLOOKUP(UNINASSAU.[[#This Row],[CURSO]],'[1]POS_VIVO_0112 a 3101_CAMP. REG)'!$F$333:$J$447,5,FALSE)</f>
        <v>291.43870800000002</v>
      </c>
      <c r="CB81" s="72">
        <f>VLOOKUP(UNINASSAU.[[#This Row],[CURSO]],'[1]POS_VIVO_0112 a 3101_CAMP. REG)'!$F$333:$L$447,7,FALSE)</f>
        <v>0.5</v>
      </c>
      <c r="CC81" s="73">
        <f>VLOOKUP(UNINASSAU.[[#This Row],[CURSO]],'[1]POS_VIVO_0112 a 3101_CAMP. REG)'!$F$333:$M$447,8,FALSE)</f>
        <v>131.15</v>
      </c>
      <c r="CD81" s="72">
        <f>VLOOKUP(UNINASSAU.[[#This Row],[CURSO]],'[1]POS_VIVO_0112 a 3101_CAMP. REG)'!$F$333:$P$447,11,FALSE)</f>
        <v>0.55000000000000004</v>
      </c>
      <c r="CE81" s="73">
        <f>VLOOKUP(UNINASSAU.[[#This Row],[CURSO]],'[1]POS_VIVO_0112 a 3101_CAMP. REG)'!$F$333:$Q$447,12,FALSE)</f>
        <v>118.03</v>
      </c>
      <c r="CF81" s="75">
        <f>UNINASSAU.[[#This Row],[Nº Parcelas]]</f>
        <v>19</v>
      </c>
      <c r="CG81" s="75">
        <f>UNINASSAU.[[#This Row],[Nº Parcelas normal2]]-1</f>
        <v>18</v>
      </c>
      <c r="CH81" s="73">
        <f>UNINASSAU.[[#This Row],[$ NORMAL]]</f>
        <v>291.43870800000002</v>
      </c>
      <c r="CI81" s="72">
        <f>UNINASSAU.[[#This Row],[%  SITE]]</f>
        <v>0.5</v>
      </c>
      <c r="CJ81" s="73">
        <f>UNINASSAU.[[#This Row],[$ SITE]]</f>
        <v>131.15</v>
      </c>
      <c r="CK81" s="72">
        <f>UNINASSAU.[[#This Row],[%  SGP]]</f>
        <v>0.55000000000000004</v>
      </c>
      <c r="CL81" s="73">
        <f>UNINASSAU.[[#This Row],[$ SGP]]</f>
        <v>118.03</v>
      </c>
      <c r="CM81" s="69" t="s">
        <v>351</v>
      </c>
      <c r="CN81" s="69" t="s">
        <v>372</v>
      </c>
      <c r="CP81" s="104">
        <v>78</v>
      </c>
      <c r="CQ81" s="121" t="s">
        <v>296</v>
      </c>
    </row>
    <row r="82" spans="14:95" ht="16.5" customHeight="1" x14ac:dyDescent="0.25">
      <c r="N82" s="121" t="s">
        <v>299</v>
      </c>
      <c r="O82" s="69" t="s">
        <v>19</v>
      </c>
      <c r="P82" s="69" t="str">
        <f>VLOOKUP(UNIFAEL.[[#This Row],[CURSO]],'[1]POS_VIVO_0112 a 3101_CAMP. REG)'!$F$5:$G$113,2,FALSE)</f>
        <v>Gestão</v>
      </c>
      <c r="Q82" s="68">
        <f>VLOOKUP(UNIFAEL.[[#This Row],[CURSO]],'[1]POS_VIVO_0112 a 3101_CAMP. REG)'!$F$5:$H$113,3,FALSE)</f>
        <v>15</v>
      </c>
      <c r="R82" s="68">
        <f>VLOOKUP(UNIFAEL.[[#This Row],[CURSO]],'[1]POS_VIVO_0112 a 3101_CAMP. REG)'!$F$5:$I$113,4,FALSE)</f>
        <v>19</v>
      </c>
      <c r="S82" s="73">
        <f>VLOOKUP(UNIFAEL.[[#This Row],[CURSO]],'[1]POS_VIVO_0112 a 3101_CAMP. REG)'!$F$5:$J$113,5,FALSE)</f>
        <v>320.59937400000007</v>
      </c>
      <c r="T82" s="124">
        <f>VLOOKUP(UNIFAEL.[[#This Row],[CURSO]],'[1]POS_VIVO_0112 a 3101_CAMP. REG)'!$F$5:$L$113,7,FALSE)</f>
        <v>0.3</v>
      </c>
      <c r="U82" s="71">
        <f>VLOOKUP(UNIFAEL.[[#This Row],[CURSO]],'[1]POS_VIVO_0112 a 3101_CAMP. REG)'!$F$5:$M$113,8,FALSE)</f>
        <v>201.98</v>
      </c>
      <c r="V82" s="72">
        <f>VLOOKUP(UNIFAEL.[[#This Row],[CURSO]],'[1]POS_VIVO_0112 a 3101_CAMP. REG)'!$F$5:$P$113,11,FALSE)</f>
        <v>0.35</v>
      </c>
      <c r="W82" s="73">
        <f>VLOOKUP(UNIFAEL.[[#This Row],[CURSO]],'[1]POS_VIVO_0112 a 3101_CAMP. REG)'!$F$5:$Q$113,12,FALSE)</f>
        <v>187.55</v>
      </c>
      <c r="X82" s="75">
        <f>UNIFAEL.[[#This Row],[Nº Parcelas]]</f>
        <v>19</v>
      </c>
      <c r="Y82" s="75">
        <f>UNIFAEL.[[#This Row],[Nº Parcelas normal2]]-1</f>
        <v>18</v>
      </c>
      <c r="Z82" s="73">
        <f>UNIFAEL.[[#This Row],[$ NORMAL]]</f>
        <v>320.59937400000007</v>
      </c>
      <c r="AA82" s="72">
        <f>UNIFAEL.[[#This Row],[%  SITE]]</f>
        <v>0.3</v>
      </c>
      <c r="AB82" s="73">
        <f>UNIFAEL.[[#This Row],[$ SITE]]</f>
        <v>201.98</v>
      </c>
      <c r="AC82" s="72">
        <f>UNIFAEL.[[#This Row],[%  SGP]]</f>
        <v>0.35</v>
      </c>
      <c r="AD82" s="73">
        <f>UNIFAEL.[[#This Row],[$ SGP]]</f>
        <v>187.55</v>
      </c>
      <c r="AE82" s="69" t="s">
        <v>371</v>
      </c>
      <c r="AF82" s="69" t="s">
        <v>372</v>
      </c>
      <c r="AH82" s="121" t="s">
        <v>299</v>
      </c>
      <c r="AI82" s="69" t="s">
        <v>19</v>
      </c>
      <c r="AJ82" s="69" t="str">
        <f>VLOOKUP(UNAMA.[[#This Row],[PARCELA MATRICULA NÃO PAGA]],'[1]POS_VIVO_0112 a 3101_CAMP. REG)'!$F$115:$G$222,2,FALSE)</f>
        <v>Gestão</v>
      </c>
      <c r="AK82" s="69">
        <f>VLOOKUP(UNAMA.[[#This Row],[PARCELA MATRICULA NÃO PAGA]],'[1]POS_VIVO_0112 a 3101_CAMP. REG)'!$F$115:$H$222,3,FALSE)</f>
        <v>15</v>
      </c>
      <c r="AL82" s="69">
        <f>VLOOKUP(UNAMA.[[#This Row],[PARCELA MATRICULA NÃO PAGA]],'[1]POS_VIVO_0112 a 3101_CAMP. REG)'!$F$115:$I$222,4,FALSE)</f>
        <v>19</v>
      </c>
      <c r="AM82" s="71">
        <f>VLOOKUP(UNAMA.[[#This Row],[PARCELA MATRICULA NÃO PAGA]],'[1]POS_VIVO_0112 a 3101_CAMP. REG)'!$F$115:$J$222,5,FALSE)</f>
        <v>352.66770900000006</v>
      </c>
      <c r="AN82" s="123">
        <f>VLOOKUP(UNAMA.[[#This Row],[PARCELA MATRICULA NÃO PAGA]],'[1]POS_VIVO_0112 a 3101_CAMP. REG)'!$F$115:$L$222,7,FALSE)</f>
        <v>0.3</v>
      </c>
      <c r="AO82" s="73">
        <f>VLOOKUP(UNAMA.[[#This Row],[PARCELA MATRICULA NÃO PAGA]],'[1]POS_VIVO_0112 a 3101_CAMP. REG)'!$F$115:$M$222,8,FALSE)</f>
        <v>222.18</v>
      </c>
      <c r="AP82" s="72">
        <f>VLOOKUP(UNAMA.[[#This Row],[PARCELA MATRICULA NÃO PAGA]],'[1]POS_VIVO_0112 a 3101_CAMP. REG)'!$F$115:$P$222,11,FALSE)</f>
        <v>0.35</v>
      </c>
      <c r="AQ82" s="73">
        <f>VLOOKUP(UNAMA.[[#This Row],[PARCELA MATRICULA NÃO PAGA]],'[1]POS_VIVO_0112 a 3101_CAMP. REG)'!$F$115:$Q$222,12,FALSE)</f>
        <v>206.31</v>
      </c>
      <c r="AR82" s="68">
        <f>UNAMA.[[#This Row],[Nº Parcelas]]</f>
        <v>19</v>
      </c>
      <c r="AS82" s="68">
        <f>UNAMA.[[#This Row],[Nº Parcelas normal2]]-1</f>
        <v>18</v>
      </c>
      <c r="AT82" s="71">
        <f>UNAMA.[[#This Row],[$ NORMAL]]</f>
        <v>352.66770900000006</v>
      </c>
      <c r="AU82" s="162">
        <f>UNAMA.[[#This Row],[%  SITE]]</f>
        <v>0.3</v>
      </c>
      <c r="AV82" s="161">
        <f>UNAMA.[[#This Row],[$ SITE]]</f>
        <v>222.18</v>
      </c>
      <c r="AW82" s="162">
        <f>UNAMA.[[#This Row],[%  SGP]]</f>
        <v>0.35</v>
      </c>
      <c r="AX82" s="161">
        <f>UNAMA.[[#This Row],[$ SGP]]</f>
        <v>206.31</v>
      </c>
      <c r="AY82" s="69" t="s">
        <v>351</v>
      </c>
      <c r="AZ82" s="69" t="s">
        <v>372</v>
      </c>
      <c r="BB82" s="121" t="s">
        <v>299</v>
      </c>
      <c r="BC82" s="69" t="s">
        <v>19</v>
      </c>
      <c r="BD82" s="68" t="str">
        <f>VLOOKUP(UNG.[[#This Row],[CURSO]],'[1]POS_VIVO_0112 a 3101_CAMP. REG)'!$F$224:$G$331,2,FALSE)</f>
        <v>Gestão</v>
      </c>
      <c r="BE82" s="70">
        <f>VLOOKUP(UNG.[[#This Row],[CURSO]],'[1]POS_VIVO_0112 a 3101_CAMP. REG)'!$F$224:$H$331,3,FALSE)</f>
        <v>15</v>
      </c>
      <c r="BF82" s="70">
        <f>VLOOKUP(UNG.[[#This Row],[CURSO]],'[1]POS_VIVO_0112 a 3101_CAMP. REG)'!$F$224:$I$331,4,FALSE)</f>
        <v>19</v>
      </c>
      <c r="BG82" s="73">
        <f>VLOOKUP(UNG.[[#This Row],[CURSO]],'[1]POS_VIVO_0112 a 3101_CAMP. REG)'!$F$224:$J$331,5,FALSE)</f>
        <v>320.59937400000007</v>
      </c>
      <c r="BH82" s="72">
        <f>VLOOKUP(UNG.[[#This Row],[CURSO]],'[1]POS_VIVO_0112 a 3101_CAMP. REG)'!$F$224:$L$331,7,FALSE)</f>
        <v>0.3</v>
      </c>
      <c r="BI82" s="73">
        <f>VLOOKUP(UNG.[[#This Row],[CURSO]],'[1]POS_VIVO_0112 a 3101_CAMP. REG)'!$F$224:$M$331,8,FALSE)</f>
        <v>201.98</v>
      </c>
      <c r="BJ82" s="72">
        <f>VLOOKUP(UNG.[[#This Row],[CURSO]],'[1]POS_VIVO_0112 a 3101_CAMP. REG)'!$F$224:$P$331,11,FALSE)</f>
        <v>0.35</v>
      </c>
      <c r="BK82" s="73">
        <f>VLOOKUP(UNG.[[#This Row],[CURSO]],'[1]POS_VIVO_0112 a 3101_CAMP. REG)'!$F$224:$Q$331,12,FALSE)</f>
        <v>187.55</v>
      </c>
      <c r="BL82" s="75">
        <f>UNG.[[#This Row],[Nº Parcelas]]</f>
        <v>19</v>
      </c>
      <c r="BM82" s="75">
        <f>UNG.[[#This Row],[Nº Parcelas normal2]]-1</f>
        <v>18</v>
      </c>
      <c r="BN82" s="73">
        <f>UNG.[[#This Row],[$ NORMAL]]</f>
        <v>320.59937400000007</v>
      </c>
      <c r="BO82" s="72">
        <f>UNG.[[#This Row],[%  SITE]]</f>
        <v>0.3</v>
      </c>
      <c r="BP82" s="73">
        <f>UNG.[[#This Row],[$ SITE]]</f>
        <v>201.98</v>
      </c>
      <c r="BQ82" s="72">
        <f>UNG.[[#This Row],[%  SGP]]</f>
        <v>0.35</v>
      </c>
      <c r="BR82" s="73">
        <f>UNG.[[#This Row],[$ SGP]]</f>
        <v>187.55</v>
      </c>
      <c r="BS82" s="69" t="s">
        <v>351</v>
      </c>
      <c r="BT82" s="69" t="s">
        <v>372</v>
      </c>
      <c r="BV82" s="121" t="s">
        <v>299</v>
      </c>
      <c r="BW82" s="69" t="s">
        <v>19</v>
      </c>
      <c r="BX82" s="69" t="str">
        <f>VLOOKUP(UNINASSAU.[[#This Row],[CURSO]],'[1]POS_VIVO_0112 a 3101_CAMP. REG)'!$F$333:$G$447,2,FALSE)</f>
        <v>Gestão</v>
      </c>
      <c r="BY82" s="68">
        <f>VLOOKUP(UNINASSAU.[[#This Row],[CURSO]],'[1]POS_VIVO_0112 a 3101_CAMP. REG)'!$F$333:$H$447,3,FALSE)</f>
        <v>15</v>
      </c>
      <c r="BZ82" s="68">
        <f>VLOOKUP(UNINASSAU.[[#This Row],[CURSO]],'[1]POS_VIVO_0112 a 3101_CAMP. REG)'!$F$333:$I$447,4,FALSE)</f>
        <v>19</v>
      </c>
      <c r="CA82" s="73">
        <f>VLOOKUP(UNINASSAU.[[#This Row],[CURSO]],'[1]POS_VIVO_0112 a 3101_CAMP. REG)'!$F$333:$J$447,5,FALSE)</f>
        <v>320.59937400000007</v>
      </c>
      <c r="CB82" s="72">
        <f>VLOOKUP(UNINASSAU.[[#This Row],[CURSO]],'[1]POS_VIVO_0112 a 3101_CAMP. REG)'!$F$333:$L$447,7,FALSE)</f>
        <v>0.3</v>
      </c>
      <c r="CC82" s="73">
        <f>VLOOKUP(UNINASSAU.[[#This Row],[CURSO]],'[1]POS_VIVO_0112 a 3101_CAMP. REG)'!$F$333:$M$447,8,FALSE)</f>
        <v>201.98</v>
      </c>
      <c r="CD82" s="72">
        <f>VLOOKUP(UNINASSAU.[[#This Row],[CURSO]],'[1]POS_VIVO_0112 a 3101_CAMP. REG)'!$F$333:$P$447,11,FALSE)</f>
        <v>0.35</v>
      </c>
      <c r="CE82" s="73">
        <f>VLOOKUP(UNINASSAU.[[#This Row],[CURSO]],'[1]POS_VIVO_0112 a 3101_CAMP. REG)'!$F$333:$Q$447,12,FALSE)</f>
        <v>187.55</v>
      </c>
      <c r="CF82" s="75">
        <f>UNINASSAU.[[#This Row],[Nº Parcelas]]</f>
        <v>19</v>
      </c>
      <c r="CG82" s="75">
        <f>UNINASSAU.[[#This Row],[Nº Parcelas normal2]]-1</f>
        <v>18</v>
      </c>
      <c r="CH82" s="73">
        <f>UNINASSAU.[[#This Row],[$ NORMAL]]</f>
        <v>320.59937400000007</v>
      </c>
      <c r="CI82" s="72">
        <f>UNINASSAU.[[#This Row],[%  SITE]]</f>
        <v>0.3</v>
      </c>
      <c r="CJ82" s="73">
        <f>UNINASSAU.[[#This Row],[$ SITE]]</f>
        <v>201.98</v>
      </c>
      <c r="CK82" s="72">
        <f>UNINASSAU.[[#This Row],[%  SGP]]</f>
        <v>0.35</v>
      </c>
      <c r="CL82" s="73">
        <f>UNINASSAU.[[#This Row],[$ SGP]]</f>
        <v>187.55</v>
      </c>
      <c r="CM82" s="69" t="s">
        <v>351</v>
      </c>
      <c r="CN82" s="69" t="s">
        <v>372</v>
      </c>
      <c r="CP82" s="104">
        <v>79</v>
      </c>
      <c r="CQ82" s="121" t="s">
        <v>336</v>
      </c>
    </row>
    <row r="83" spans="14:95" ht="16.5" customHeight="1" x14ac:dyDescent="0.25">
      <c r="N83" s="121" t="s">
        <v>301</v>
      </c>
      <c r="O83" s="69" t="s">
        <v>19</v>
      </c>
      <c r="P83" s="69" t="str">
        <f>VLOOKUP(UNIFAEL.[[#This Row],[CURSO]],'[1]POS_VIVO_0112 a 3101_CAMP. REG)'!$F$5:$G$113,2,FALSE)</f>
        <v>Gestão</v>
      </c>
      <c r="Q83" s="68">
        <f>VLOOKUP(UNIFAEL.[[#This Row],[CURSO]],'[1]POS_VIVO_0112 a 3101_CAMP. REG)'!$F$5:$H$113,3,FALSE)</f>
        <v>15</v>
      </c>
      <c r="R83" s="68">
        <f>VLOOKUP(UNIFAEL.[[#This Row],[CURSO]],'[1]POS_VIVO_0112 a 3101_CAMP. REG)'!$F$5:$I$113,4,FALSE)</f>
        <v>19</v>
      </c>
      <c r="S83" s="73">
        <f>VLOOKUP(UNIFAEL.[[#This Row],[CURSO]],'[1]POS_VIVO_0112 a 3101_CAMP. REG)'!$F$5:$J$113,5,FALSE)</f>
        <v>320.59937400000007</v>
      </c>
      <c r="T83" s="124">
        <f>VLOOKUP(UNIFAEL.[[#This Row],[CURSO]],'[1]POS_VIVO_0112 a 3101_CAMP. REG)'!$F$5:$L$113,7,FALSE)</f>
        <v>0.4</v>
      </c>
      <c r="U83" s="71">
        <f>VLOOKUP(UNIFAEL.[[#This Row],[CURSO]],'[1]POS_VIVO_0112 a 3101_CAMP. REG)'!$F$5:$M$113,8,FALSE)</f>
        <v>173.12</v>
      </c>
      <c r="V83" s="72">
        <f>VLOOKUP(UNIFAEL.[[#This Row],[CURSO]],'[1]POS_VIVO_0112 a 3101_CAMP. REG)'!$F$5:$P$113,11,FALSE)</f>
        <v>0.45</v>
      </c>
      <c r="W83" s="73">
        <f>VLOOKUP(UNIFAEL.[[#This Row],[CURSO]],'[1]POS_VIVO_0112 a 3101_CAMP. REG)'!$F$5:$Q$113,12,FALSE)</f>
        <v>158.69999999999999</v>
      </c>
      <c r="X83" s="75">
        <f>UNIFAEL.[[#This Row],[Nº Parcelas]]</f>
        <v>19</v>
      </c>
      <c r="Y83" s="75">
        <f>UNIFAEL.[[#This Row],[Nº Parcelas normal2]]-1</f>
        <v>18</v>
      </c>
      <c r="Z83" s="73">
        <f>UNIFAEL.[[#This Row],[$ NORMAL]]</f>
        <v>320.59937400000007</v>
      </c>
      <c r="AA83" s="72">
        <f>UNIFAEL.[[#This Row],[%  SITE]]</f>
        <v>0.4</v>
      </c>
      <c r="AB83" s="73">
        <f>UNIFAEL.[[#This Row],[$ SITE]]</f>
        <v>173.12</v>
      </c>
      <c r="AC83" s="72">
        <f>UNIFAEL.[[#This Row],[%  SGP]]</f>
        <v>0.45</v>
      </c>
      <c r="AD83" s="73">
        <f>UNIFAEL.[[#This Row],[$ SGP]]</f>
        <v>158.69999999999999</v>
      </c>
      <c r="AE83" s="69" t="s">
        <v>371</v>
      </c>
      <c r="AF83" s="69" t="s">
        <v>372</v>
      </c>
      <c r="AH83" s="121" t="s">
        <v>301</v>
      </c>
      <c r="AI83" s="69" t="s">
        <v>19</v>
      </c>
      <c r="AJ83" s="69" t="str">
        <f>VLOOKUP(UNAMA.[[#This Row],[PARCELA MATRICULA NÃO PAGA]],'[1]POS_VIVO_0112 a 3101_CAMP. REG)'!$F$115:$G$222,2,FALSE)</f>
        <v>Gestão</v>
      </c>
      <c r="AK83" s="69">
        <f>VLOOKUP(UNAMA.[[#This Row],[PARCELA MATRICULA NÃO PAGA]],'[1]POS_VIVO_0112 a 3101_CAMP. REG)'!$F$115:$H$222,3,FALSE)</f>
        <v>15</v>
      </c>
      <c r="AL83" s="69">
        <f>VLOOKUP(UNAMA.[[#This Row],[PARCELA MATRICULA NÃO PAGA]],'[1]POS_VIVO_0112 a 3101_CAMP. REG)'!$F$115:$I$222,4,FALSE)</f>
        <v>19</v>
      </c>
      <c r="AM83" s="71">
        <f>VLOOKUP(UNAMA.[[#This Row],[PARCELA MATRICULA NÃO PAGA]],'[1]POS_VIVO_0112 a 3101_CAMP. REG)'!$F$115:$J$222,5,FALSE)</f>
        <v>352.66770900000006</v>
      </c>
      <c r="AN83" s="123">
        <f>VLOOKUP(UNAMA.[[#This Row],[PARCELA MATRICULA NÃO PAGA]],'[1]POS_VIVO_0112 a 3101_CAMP. REG)'!$F$115:$L$222,7,FALSE)</f>
        <v>0.4</v>
      </c>
      <c r="AO83" s="73">
        <f>VLOOKUP(UNAMA.[[#This Row],[PARCELA MATRICULA NÃO PAGA]],'[1]POS_VIVO_0112 a 3101_CAMP. REG)'!$F$115:$M$222,8,FALSE)</f>
        <v>190.44</v>
      </c>
      <c r="AP83" s="72">
        <f>VLOOKUP(UNAMA.[[#This Row],[PARCELA MATRICULA NÃO PAGA]],'[1]POS_VIVO_0112 a 3101_CAMP. REG)'!$F$115:$P$222,11,FALSE)</f>
        <v>0.45</v>
      </c>
      <c r="AQ83" s="73">
        <f>VLOOKUP(UNAMA.[[#This Row],[PARCELA MATRICULA NÃO PAGA]],'[1]POS_VIVO_0112 a 3101_CAMP. REG)'!$F$115:$Q$222,12,FALSE)</f>
        <v>174.57</v>
      </c>
      <c r="AR83" s="68">
        <f>UNAMA.[[#This Row],[Nº Parcelas]]</f>
        <v>19</v>
      </c>
      <c r="AS83" s="68">
        <f>UNAMA.[[#This Row],[Nº Parcelas normal2]]-1</f>
        <v>18</v>
      </c>
      <c r="AT83" s="71">
        <f>UNAMA.[[#This Row],[$ NORMAL]]</f>
        <v>352.66770900000006</v>
      </c>
      <c r="AU83" s="162">
        <f>UNAMA.[[#This Row],[%  SITE]]</f>
        <v>0.4</v>
      </c>
      <c r="AV83" s="161">
        <f>UNAMA.[[#This Row],[$ SITE]]</f>
        <v>190.44</v>
      </c>
      <c r="AW83" s="162">
        <f>UNAMA.[[#This Row],[%  SGP]]</f>
        <v>0.45</v>
      </c>
      <c r="AX83" s="161">
        <f>UNAMA.[[#This Row],[$ SGP]]</f>
        <v>174.57</v>
      </c>
      <c r="AY83" s="69" t="s">
        <v>351</v>
      </c>
      <c r="AZ83" s="69" t="s">
        <v>372</v>
      </c>
      <c r="BB83" s="121" t="s">
        <v>301</v>
      </c>
      <c r="BC83" s="69" t="s">
        <v>19</v>
      </c>
      <c r="BD83" s="68" t="str">
        <f>VLOOKUP(UNG.[[#This Row],[CURSO]],'[1]POS_VIVO_0112 a 3101_CAMP. REG)'!$F$224:$G$331,2,FALSE)</f>
        <v>Gestão</v>
      </c>
      <c r="BE83" s="70">
        <f>VLOOKUP(UNG.[[#This Row],[CURSO]],'[1]POS_VIVO_0112 a 3101_CAMP. REG)'!$F$224:$H$331,3,FALSE)</f>
        <v>15</v>
      </c>
      <c r="BF83" s="70">
        <f>VLOOKUP(UNG.[[#This Row],[CURSO]],'[1]POS_VIVO_0112 a 3101_CAMP. REG)'!$F$224:$I$331,4,FALSE)</f>
        <v>19</v>
      </c>
      <c r="BG83" s="73">
        <f>VLOOKUP(UNG.[[#This Row],[CURSO]],'[1]POS_VIVO_0112 a 3101_CAMP. REG)'!$F$224:$J$331,5,FALSE)</f>
        <v>320.59937400000007</v>
      </c>
      <c r="BH83" s="72">
        <f>VLOOKUP(UNG.[[#This Row],[CURSO]],'[1]POS_VIVO_0112 a 3101_CAMP. REG)'!$F$224:$L$331,7,FALSE)</f>
        <v>0.4</v>
      </c>
      <c r="BI83" s="73">
        <f>VLOOKUP(UNG.[[#This Row],[CURSO]],'[1]POS_VIVO_0112 a 3101_CAMP. REG)'!$F$224:$M$331,8,FALSE)</f>
        <v>173.12</v>
      </c>
      <c r="BJ83" s="72">
        <f>VLOOKUP(UNG.[[#This Row],[CURSO]],'[1]POS_VIVO_0112 a 3101_CAMP. REG)'!$F$224:$P$331,11,FALSE)</f>
        <v>0.45</v>
      </c>
      <c r="BK83" s="73">
        <f>VLOOKUP(UNG.[[#This Row],[CURSO]],'[1]POS_VIVO_0112 a 3101_CAMP. REG)'!$F$224:$Q$331,12,FALSE)</f>
        <v>158.69999999999999</v>
      </c>
      <c r="BL83" s="75">
        <f>UNG.[[#This Row],[Nº Parcelas]]</f>
        <v>19</v>
      </c>
      <c r="BM83" s="75">
        <f>UNG.[[#This Row],[Nº Parcelas normal2]]-1</f>
        <v>18</v>
      </c>
      <c r="BN83" s="73">
        <f>UNG.[[#This Row],[$ NORMAL]]</f>
        <v>320.59937400000007</v>
      </c>
      <c r="BO83" s="72">
        <f>UNG.[[#This Row],[%  SITE]]</f>
        <v>0.4</v>
      </c>
      <c r="BP83" s="73">
        <f>UNG.[[#This Row],[$ SITE]]</f>
        <v>173.12</v>
      </c>
      <c r="BQ83" s="72">
        <f>UNG.[[#This Row],[%  SGP]]</f>
        <v>0.45</v>
      </c>
      <c r="BR83" s="73">
        <f>UNG.[[#This Row],[$ SGP]]</f>
        <v>158.69999999999999</v>
      </c>
      <c r="BS83" s="69" t="s">
        <v>351</v>
      </c>
      <c r="BT83" s="69" t="s">
        <v>372</v>
      </c>
      <c r="BV83" s="121" t="s">
        <v>301</v>
      </c>
      <c r="BW83" s="69" t="s">
        <v>19</v>
      </c>
      <c r="BX83" s="69" t="str">
        <f>VLOOKUP(UNINASSAU.[[#This Row],[CURSO]],'[1]POS_VIVO_0112 a 3101_CAMP. REG)'!$F$333:$G$447,2,FALSE)</f>
        <v>Gestão</v>
      </c>
      <c r="BY83" s="68">
        <f>VLOOKUP(UNINASSAU.[[#This Row],[CURSO]],'[1]POS_VIVO_0112 a 3101_CAMP. REG)'!$F$333:$H$447,3,FALSE)</f>
        <v>15</v>
      </c>
      <c r="BZ83" s="68">
        <f>VLOOKUP(UNINASSAU.[[#This Row],[CURSO]],'[1]POS_VIVO_0112 a 3101_CAMP. REG)'!$F$333:$I$447,4,FALSE)</f>
        <v>19</v>
      </c>
      <c r="CA83" s="73">
        <f>VLOOKUP(UNINASSAU.[[#This Row],[CURSO]],'[1]POS_VIVO_0112 a 3101_CAMP. REG)'!$F$333:$J$447,5,FALSE)</f>
        <v>320.59937400000007</v>
      </c>
      <c r="CB83" s="72">
        <f>VLOOKUP(UNINASSAU.[[#This Row],[CURSO]],'[1]POS_VIVO_0112 a 3101_CAMP. REG)'!$F$333:$L$447,7,FALSE)</f>
        <v>0.4</v>
      </c>
      <c r="CC83" s="73">
        <f>VLOOKUP(UNINASSAU.[[#This Row],[CURSO]],'[1]POS_VIVO_0112 a 3101_CAMP. REG)'!$F$333:$M$447,8,FALSE)</f>
        <v>173.12</v>
      </c>
      <c r="CD83" s="72">
        <f>VLOOKUP(UNINASSAU.[[#This Row],[CURSO]],'[1]POS_VIVO_0112 a 3101_CAMP. REG)'!$F$333:$P$447,11,FALSE)</f>
        <v>0.45</v>
      </c>
      <c r="CE83" s="73">
        <f>VLOOKUP(UNINASSAU.[[#This Row],[CURSO]],'[1]POS_VIVO_0112 a 3101_CAMP. REG)'!$F$333:$Q$447,12,FALSE)</f>
        <v>158.69999999999999</v>
      </c>
      <c r="CF83" s="75">
        <f>UNINASSAU.[[#This Row],[Nº Parcelas]]</f>
        <v>19</v>
      </c>
      <c r="CG83" s="75">
        <f>UNINASSAU.[[#This Row],[Nº Parcelas normal2]]-1</f>
        <v>18</v>
      </c>
      <c r="CH83" s="73">
        <f>UNINASSAU.[[#This Row],[$ NORMAL]]</f>
        <v>320.59937400000007</v>
      </c>
      <c r="CI83" s="72">
        <f>UNINASSAU.[[#This Row],[%  SITE]]</f>
        <v>0.4</v>
      </c>
      <c r="CJ83" s="73">
        <f>UNINASSAU.[[#This Row],[$ SITE]]</f>
        <v>173.12</v>
      </c>
      <c r="CK83" s="72">
        <f>UNINASSAU.[[#This Row],[%  SGP]]</f>
        <v>0.45</v>
      </c>
      <c r="CL83" s="73">
        <f>UNINASSAU.[[#This Row],[$ SGP]]</f>
        <v>158.69999999999999</v>
      </c>
      <c r="CM83" s="69" t="s">
        <v>351</v>
      </c>
      <c r="CN83" s="69" t="s">
        <v>372</v>
      </c>
      <c r="CP83" s="104">
        <v>80</v>
      </c>
      <c r="CQ83" s="121" t="s">
        <v>276</v>
      </c>
    </row>
    <row r="84" spans="14:95" ht="16.5" customHeight="1" x14ac:dyDescent="0.25">
      <c r="N84" s="121" t="s">
        <v>266</v>
      </c>
      <c r="O84" s="69" t="s">
        <v>19</v>
      </c>
      <c r="P84" s="69" t="str">
        <f>VLOOKUP(UNIFAEL.[[#This Row],[CURSO]],'[1]POS_VIVO_0112 a 3101_CAMP. REG)'!$F$5:$G$113,2,FALSE)</f>
        <v>Gestão</v>
      </c>
      <c r="Q84" s="68">
        <f>VLOOKUP(UNIFAEL.[[#This Row],[CURSO]],'[1]POS_VIVO_0112 a 3101_CAMP. REG)'!$F$5:$H$113,3,FALSE)</f>
        <v>12</v>
      </c>
      <c r="R84" s="68">
        <f>VLOOKUP(UNIFAEL.[[#This Row],[CURSO]],'[1]POS_VIVO_0112 a 3101_CAMP. REG)'!$F$5:$I$113,4,FALSE)</f>
        <v>19</v>
      </c>
      <c r="S84" s="73">
        <f>VLOOKUP(UNIFAEL.[[#This Row],[CURSO]],'[1]POS_VIVO_0112 a 3101_CAMP. REG)'!$F$5:$J$113,5,FALSE)</f>
        <v>524.85</v>
      </c>
      <c r="T84" s="124">
        <f>VLOOKUP(UNIFAEL.[[#This Row],[CURSO]],'[1]POS_VIVO_0112 a 3101_CAMP. REG)'!$F$5:$L$113,7,FALSE)</f>
        <v>0.5</v>
      </c>
      <c r="U84" s="71">
        <f>VLOOKUP(UNIFAEL.[[#This Row],[CURSO]],'[1]POS_VIVO_0112 a 3101_CAMP. REG)'!$F$5:$M$113,8,FALSE)</f>
        <v>236.18</v>
      </c>
      <c r="V84" s="72">
        <f>VLOOKUP(UNIFAEL.[[#This Row],[CURSO]],'[1]POS_VIVO_0112 a 3101_CAMP. REG)'!$F$5:$P$113,11,FALSE)</f>
        <v>0.55000000000000004</v>
      </c>
      <c r="W84" s="73">
        <f>VLOOKUP(UNIFAEL.[[#This Row],[CURSO]],'[1]POS_VIVO_0112 a 3101_CAMP. REG)'!$F$5:$Q$113,12,FALSE)</f>
        <v>212.56</v>
      </c>
      <c r="X84" s="75">
        <f>UNIFAEL.[[#This Row],[Nº Parcelas]]</f>
        <v>19</v>
      </c>
      <c r="Y84" s="75">
        <f>UNIFAEL.[[#This Row],[Nº Parcelas normal2]]-1</f>
        <v>18</v>
      </c>
      <c r="Z84" s="73">
        <f>UNIFAEL.[[#This Row],[$ NORMAL]]</f>
        <v>524.85</v>
      </c>
      <c r="AA84" s="72">
        <f>UNIFAEL.[[#This Row],[%  SITE]]</f>
        <v>0.5</v>
      </c>
      <c r="AB84" s="73">
        <f>UNIFAEL.[[#This Row],[$ SITE]]</f>
        <v>236.18</v>
      </c>
      <c r="AC84" s="72">
        <f>UNIFAEL.[[#This Row],[%  SGP]]</f>
        <v>0.55000000000000004</v>
      </c>
      <c r="AD84" s="73">
        <f>UNIFAEL.[[#This Row],[$ SGP]]</f>
        <v>212.56</v>
      </c>
      <c r="AE84" s="69" t="s">
        <v>371</v>
      </c>
      <c r="AF84" s="69" t="s">
        <v>372</v>
      </c>
      <c r="AH84" s="121" t="s">
        <v>266</v>
      </c>
      <c r="AI84" s="69" t="s">
        <v>19</v>
      </c>
      <c r="AJ84" s="69" t="str">
        <f>VLOOKUP(UNAMA.[[#This Row],[PARCELA MATRICULA NÃO PAGA]],'[1]POS_VIVO_0112 a 3101_CAMP. REG)'!$F$115:$G$222,2,FALSE)</f>
        <v>Gestão</v>
      </c>
      <c r="AK84" s="69">
        <f>VLOOKUP(UNAMA.[[#This Row],[PARCELA MATRICULA NÃO PAGA]],'[1]POS_VIVO_0112 a 3101_CAMP. REG)'!$F$115:$H$222,3,FALSE)</f>
        <v>12</v>
      </c>
      <c r="AL84" s="69">
        <f>VLOOKUP(UNAMA.[[#This Row],[PARCELA MATRICULA NÃO PAGA]],'[1]POS_VIVO_0112 a 3101_CAMP. REG)'!$F$115:$I$222,4,FALSE)</f>
        <v>19</v>
      </c>
      <c r="AM84" s="71">
        <f>VLOOKUP(UNAMA.[[#This Row],[PARCELA MATRICULA NÃO PAGA]],'[1]POS_VIVO_0112 a 3101_CAMP. REG)'!$F$115:$J$222,5,FALSE)</f>
        <v>583.02437399999997</v>
      </c>
      <c r="AN84" s="123">
        <f>VLOOKUP(UNAMA.[[#This Row],[PARCELA MATRICULA NÃO PAGA]],'[1]POS_VIVO_0112 a 3101_CAMP. REG)'!$F$115:$L$222,7,FALSE)</f>
        <v>0.5</v>
      </c>
      <c r="AO84" s="73">
        <f>VLOOKUP(UNAMA.[[#This Row],[PARCELA MATRICULA NÃO PAGA]],'[1]POS_VIVO_0112 a 3101_CAMP. REG)'!$F$115:$M$222,8,FALSE)</f>
        <v>262.36</v>
      </c>
      <c r="AP84" s="72">
        <f>VLOOKUP(UNAMA.[[#This Row],[PARCELA MATRICULA NÃO PAGA]],'[1]POS_VIVO_0112 a 3101_CAMP. REG)'!$F$115:$P$222,11,FALSE)</f>
        <v>0.55000000000000004</v>
      </c>
      <c r="AQ84" s="73">
        <f>VLOOKUP(UNAMA.[[#This Row],[PARCELA MATRICULA NÃO PAGA]],'[1]POS_VIVO_0112 a 3101_CAMP. REG)'!$F$115:$Q$222,12,FALSE)</f>
        <v>236.12</v>
      </c>
      <c r="AR84" s="68">
        <f>UNAMA.[[#This Row],[Nº Parcelas]]</f>
        <v>19</v>
      </c>
      <c r="AS84" s="68">
        <f>UNAMA.[[#This Row],[Nº Parcelas normal2]]-1</f>
        <v>18</v>
      </c>
      <c r="AT84" s="71">
        <f>UNAMA.[[#This Row],[$ NORMAL]]</f>
        <v>583.02437399999997</v>
      </c>
      <c r="AU84" s="162">
        <f>UNAMA.[[#This Row],[%  SITE]]</f>
        <v>0.5</v>
      </c>
      <c r="AV84" s="161">
        <f>UNAMA.[[#This Row],[$ SITE]]</f>
        <v>262.36</v>
      </c>
      <c r="AW84" s="162">
        <f>UNAMA.[[#This Row],[%  SGP]]</f>
        <v>0.55000000000000004</v>
      </c>
      <c r="AX84" s="161">
        <f>UNAMA.[[#This Row],[$ SGP]]</f>
        <v>236.12</v>
      </c>
      <c r="AY84" s="69" t="s">
        <v>351</v>
      </c>
      <c r="AZ84" s="69" t="s">
        <v>372</v>
      </c>
      <c r="BB84" s="121" t="s">
        <v>266</v>
      </c>
      <c r="BC84" s="69" t="s">
        <v>19</v>
      </c>
      <c r="BD84" s="68" t="str">
        <f>VLOOKUP(UNG.[[#This Row],[CURSO]],'[1]POS_VIVO_0112 a 3101_CAMP. REG)'!$F$224:$G$331,2,FALSE)</f>
        <v>Gestão</v>
      </c>
      <c r="BE84" s="70">
        <f>VLOOKUP(UNG.[[#This Row],[CURSO]],'[1]POS_VIVO_0112 a 3101_CAMP. REG)'!$F$224:$H$331,3,FALSE)</f>
        <v>12</v>
      </c>
      <c r="BF84" s="70">
        <f>VLOOKUP(UNG.[[#This Row],[CURSO]],'[1]POS_VIVO_0112 a 3101_CAMP. REG)'!$F$224:$I$331,4,FALSE)</f>
        <v>19</v>
      </c>
      <c r="BG84" s="73">
        <f>VLOOKUP(UNG.[[#This Row],[CURSO]],'[1]POS_VIVO_0112 a 3101_CAMP. REG)'!$F$224:$J$331,5,FALSE)</f>
        <v>524.85</v>
      </c>
      <c r="BH84" s="72">
        <f>VLOOKUP(UNG.[[#This Row],[CURSO]],'[1]POS_VIVO_0112 a 3101_CAMP. REG)'!$F$224:$L$331,7,FALSE)</f>
        <v>0.5</v>
      </c>
      <c r="BI84" s="73">
        <f>VLOOKUP(UNG.[[#This Row],[CURSO]],'[1]POS_VIVO_0112 a 3101_CAMP. REG)'!$F$224:$M$331,8,FALSE)</f>
        <v>236.18</v>
      </c>
      <c r="BJ84" s="72">
        <f>VLOOKUP(UNG.[[#This Row],[CURSO]],'[1]POS_VIVO_0112 a 3101_CAMP. REG)'!$F$224:$P$331,11,FALSE)</f>
        <v>0.55000000000000004</v>
      </c>
      <c r="BK84" s="73">
        <f>VLOOKUP(UNG.[[#This Row],[CURSO]],'[1]POS_VIVO_0112 a 3101_CAMP. REG)'!$F$224:$Q$331,12,FALSE)</f>
        <v>212.56</v>
      </c>
      <c r="BL84" s="75">
        <f>UNG.[[#This Row],[Nº Parcelas]]</f>
        <v>19</v>
      </c>
      <c r="BM84" s="75">
        <f>UNG.[[#This Row],[Nº Parcelas normal2]]-1</f>
        <v>18</v>
      </c>
      <c r="BN84" s="73">
        <f>UNG.[[#This Row],[$ NORMAL]]</f>
        <v>524.85</v>
      </c>
      <c r="BO84" s="72">
        <f>UNG.[[#This Row],[%  SITE]]</f>
        <v>0.5</v>
      </c>
      <c r="BP84" s="73">
        <f>UNG.[[#This Row],[$ SITE]]</f>
        <v>236.18</v>
      </c>
      <c r="BQ84" s="72">
        <f>UNG.[[#This Row],[%  SGP]]</f>
        <v>0.55000000000000004</v>
      </c>
      <c r="BR84" s="73">
        <f>UNG.[[#This Row],[$ SGP]]</f>
        <v>212.56</v>
      </c>
      <c r="BS84" s="69" t="s">
        <v>351</v>
      </c>
      <c r="BT84" s="69" t="s">
        <v>372</v>
      </c>
      <c r="BV84" s="121" t="s">
        <v>266</v>
      </c>
      <c r="BW84" s="69" t="s">
        <v>19</v>
      </c>
      <c r="BX84" s="69" t="str">
        <f>VLOOKUP(UNINASSAU.[[#This Row],[CURSO]],'[1]POS_VIVO_0112 a 3101_CAMP. REG)'!$F$333:$G$447,2,FALSE)</f>
        <v>Gestão</v>
      </c>
      <c r="BY84" s="68">
        <f>VLOOKUP(UNINASSAU.[[#This Row],[CURSO]],'[1]POS_VIVO_0112 a 3101_CAMP. REG)'!$F$333:$H$447,3,FALSE)</f>
        <v>12</v>
      </c>
      <c r="BZ84" s="68">
        <f>VLOOKUP(UNINASSAU.[[#This Row],[CURSO]],'[1]POS_VIVO_0112 a 3101_CAMP. REG)'!$F$333:$I$447,4,FALSE)</f>
        <v>19</v>
      </c>
      <c r="CA84" s="73">
        <f>VLOOKUP(UNINASSAU.[[#This Row],[CURSO]],'[1]POS_VIVO_0112 a 3101_CAMP. REG)'!$F$333:$J$447,5,FALSE)</f>
        <v>524.85</v>
      </c>
      <c r="CB84" s="72">
        <f>VLOOKUP(UNINASSAU.[[#This Row],[CURSO]],'[1]POS_VIVO_0112 a 3101_CAMP. REG)'!$F$333:$L$447,7,FALSE)</f>
        <v>0.5</v>
      </c>
      <c r="CC84" s="73">
        <f>VLOOKUP(UNINASSAU.[[#This Row],[CURSO]],'[1]POS_VIVO_0112 a 3101_CAMP. REG)'!$F$333:$M$447,8,FALSE)</f>
        <v>236.18</v>
      </c>
      <c r="CD84" s="72">
        <f>VLOOKUP(UNINASSAU.[[#This Row],[CURSO]],'[1]POS_VIVO_0112 a 3101_CAMP. REG)'!$F$333:$P$447,11,FALSE)</f>
        <v>0.55000000000000004</v>
      </c>
      <c r="CE84" s="73">
        <f>VLOOKUP(UNINASSAU.[[#This Row],[CURSO]],'[1]POS_VIVO_0112 a 3101_CAMP. REG)'!$F$333:$Q$447,12,FALSE)</f>
        <v>212.56</v>
      </c>
      <c r="CF84" s="75">
        <f>UNINASSAU.[[#This Row],[Nº Parcelas]]</f>
        <v>19</v>
      </c>
      <c r="CG84" s="75">
        <f>UNINASSAU.[[#This Row],[Nº Parcelas normal2]]-1</f>
        <v>18</v>
      </c>
      <c r="CH84" s="73">
        <f>UNINASSAU.[[#This Row],[$ NORMAL]]</f>
        <v>524.85</v>
      </c>
      <c r="CI84" s="72">
        <f>UNINASSAU.[[#This Row],[%  SITE]]</f>
        <v>0.5</v>
      </c>
      <c r="CJ84" s="73">
        <f>UNINASSAU.[[#This Row],[$ SITE]]</f>
        <v>236.18</v>
      </c>
      <c r="CK84" s="72">
        <f>UNINASSAU.[[#This Row],[%  SGP]]</f>
        <v>0.55000000000000004</v>
      </c>
      <c r="CL84" s="73">
        <f>UNINASSAU.[[#This Row],[$ SGP]]</f>
        <v>212.56</v>
      </c>
      <c r="CM84" s="69" t="s">
        <v>351</v>
      </c>
      <c r="CN84" s="69" t="s">
        <v>372</v>
      </c>
      <c r="CP84" s="104">
        <v>81</v>
      </c>
      <c r="CQ84" s="121" t="s">
        <v>277</v>
      </c>
    </row>
    <row r="85" spans="14:95" ht="16.5" customHeight="1" x14ac:dyDescent="0.25">
      <c r="N85" s="163" t="s">
        <v>296</v>
      </c>
      <c r="O85" s="69" t="s">
        <v>19</v>
      </c>
      <c r="P85" s="69" t="str">
        <f>VLOOKUP(UNIFAEL.[[#This Row],[CURSO]],'[1]POS_VIVO_0112 a 3101_CAMP. REG)'!$F$5:$G$113,2,FALSE)</f>
        <v>Gestão</v>
      </c>
      <c r="Q85" s="68">
        <f>VLOOKUP(UNIFAEL.[[#This Row],[CURSO]],'[1]POS_VIVO_0112 a 3101_CAMP. REG)'!$F$5:$H$113,3,FALSE)</f>
        <v>15</v>
      </c>
      <c r="R85" s="68">
        <f>VLOOKUP(UNIFAEL.[[#This Row],[CURSO]],'[1]POS_VIVO_0112 a 3101_CAMP. REG)'!$F$5:$I$113,4,FALSE)</f>
        <v>19</v>
      </c>
      <c r="S85" s="73">
        <f>VLOOKUP(UNIFAEL.[[#This Row],[CURSO]],'[1]POS_VIVO_0112 a 3101_CAMP. REG)'!$F$5:$J$113,5,FALSE)</f>
        <v>728.81720700000005</v>
      </c>
      <c r="T85" s="124" t="s">
        <v>373</v>
      </c>
      <c r="U85" s="71">
        <f>VLOOKUP(UNIFAEL.[[#This Row],[CURSO]],'[1]POS_VIVO_0112 a 3101_CAMP. REG)'!$F$5:$M$113,8,FALSE)</f>
        <v>655.94</v>
      </c>
      <c r="V85" s="124" t="s">
        <v>373</v>
      </c>
      <c r="W85" s="73">
        <f>VLOOKUP(UNIFAEL.[[#This Row],[CURSO]],'[1]POS_VIVO_0112 a 3101_CAMP. REG)'!$F$5:$Q$113,12,FALSE)</f>
        <v>655.94</v>
      </c>
      <c r="Z85" s="73"/>
      <c r="AB85" s="73"/>
      <c r="AD85" s="73"/>
      <c r="AE85" s="69"/>
      <c r="AF85" s="69"/>
      <c r="AH85" s="121" t="s">
        <v>296</v>
      </c>
      <c r="AI85" s="69" t="s">
        <v>19</v>
      </c>
      <c r="AJ85" s="69" t="str">
        <f>VLOOKUP(UNAMA.[[#This Row],[PARCELA MATRICULA NÃO PAGA]],'[1]POS_VIVO_0112 a 3101_CAMP. REG)'!$F$115:$G$222,2,FALSE)</f>
        <v>Gestão</v>
      </c>
      <c r="AK85" s="69">
        <f>VLOOKUP(UNAMA.[[#This Row],[PARCELA MATRICULA NÃO PAGA]],'[1]POS_VIVO_0112 a 3101_CAMP. REG)'!$F$115:$H$222,3,FALSE)</f>
        <v>15</v>
      </c>
      <c r="AL85" s="69">
        <f>VLOOKUP(UNAMA.[[#This Row],[PARCELA MATRICULA NÃO PAGA]],'[1]POS_VIVO_0112 a 3101_CAMP. REG)'!$F$115:$I$222,4,FALSE)</f>
        <v>19</v>
      </c>
      <c r="AM85" s="71">
        <f>VLOOKUP(UNAMA.[[#This Row],[PARCELA MATRICULA NÃO PAGA]],'[1]POS_VIVO_0112 a 3101_CAMP. REG)'!$F$115:$J$222,5,FALSE)</f>
        <v>801.70837500000005</v>
      </c>
      <c r="AN85" s="124" t="s">
        <v>373</v>
      </c>
      <c r="AO85" s="73">
        <f>VLOOKUP(UNAMA.[[#This Row],[PARCELA MATRICULA NÃO PAGA]],'[1]POS_VIVO_0112 a 3101_CAMP. REG)'!$F$115:$M$222,8,FALSE)</f>
        <v>721.54</v>
      </c>
      <c r="AP85" s="124" t="s">
        <v>373</v>
      </c>
      <c r="AQ85" s="73">
        <f>VLOOKUP(UNAMA.[[#This Row],[PARCELA MATRICULA NÃO PAGA]],'[1]POS_VIVO_0112 a 3101_CAMP. REG)'!$F$115:$Q$222,12,FALSE)</f>
        <v>721.54</v>
      </c>
      <c r="AR85" s="68"/>
      <c r="AS85" s="68"/>
      <c r="AT85" s="71"/>
      <c r="AU85" s="162"/>
      <c r="AV85" s="161"/>
      <c r="AW85" s="162"/>
      <c r="AX85" s="161"/>
      <c r="AY85" s="69"/>
      <c r="AZ85" s="69"/>
      <c r="BB85" s="121" t="s">
        <v>296</v>
      </c>
      <c r="BC85" s="69" t="s">
        <v>19</v>
      </c>
      <c r="BD85" s="68" t="str">
        <f>VLOOKUP(UNG.[[#This Row],[CURSO]],'[1]POS_VIVO_0112 a 3101_CAMP. REG)'!$F$224:$G$331,2,FALSE)</f>
        <v>Gestão</v>
      </c>
      <c r="BE85" s="70">
        <f>VLOOKUP(UNG.[[#This Row],[CURSO]],'[1]POS_VIVO_0112 a 3101_CAMP. REG)'!$F$224:$H$331,3,FALSE)</f>
        <v>15</v>
      </c>
      <c r="BF85" s="70">
        <f>VLOOKUP(UNG.[[#This Row],[CURSO]],'[1]POS_VIVO_0112 a 3101_CAMP. REG)'!$F$224:$I$331,4,FALSE)</f>
        <v>19</v>
      </c>
      <c r="BG85" s="73">
        <f>VLOOKUP(UNG.[[#This Row],[CURSO]],'[1]POS_VIVO_0112 a 3101_CAMP. REG)'!$F$224:$J$331,5,FALSE)</f>
        <v>728.81720700000005</v>
      </c>
      <c r="BH85" s="124" t="s">
        <v>373</v>
      </c>
      <c r="BI85" s="73">
        <f>VLOOKUP(UNG.[[#This Row],[CURSO]],'[1]POS_VIVO_0112 a 3101_CAMP. REG)'!$F$224:$M$331,8,FALSE)</f>
        <v>655.94</v>
      </c>
      <c r="BJ85" s="124" t="s">
        <v>373</v>
      </c>
      <c r="BK85" s="73">
        <f>VLOOKUP(UNG.[[#This Row],[CURSO]],'[1]POS_VIVO_0112 a 3101_CAMP. REG)'!$F$224:$Q$331,12,FALSE)</f>
        <v>655.94</v>
      </c>
      <c r="BS85" s="69"/>
      <c r="BT85" s="69"/>
      <c r="BV85" s="121" t="s">
        <v>296</v>
      </c>
      <c r="BW85" s="69" t="s">
        <v>19</v>
      </c>
      <c r="BX85" s="69" t="str">
        <f>VLOOKUP(UNINASSAU.[[#This Row],[CURSO]],'[1]POS_VIVO_0112 a 3101_CAMP. REG)'!$F$333:$G$447,2,FALSE)</f>
        <v>Gestão</v>
      </c>
      <c r="BY85" s="68">
        <f>VLOOKUP(UNINASSAU.[[#This Row],[CURSO]],'[1]POS_VIVO_0112 a 3101_CAMP. REG)'!$F$333:$H$447,3,FALSE)</f>
        <v>15</v>
      </c>
      <c r="BZ85" s="68">
        <f>VLOOKUP(UNINASSAU.[[#This Row],[CURSO]],'[1]POS_VIVO_0112 a 3101_CAMP. REG)'!$F$333:$I$447,4,FALSE)</f>
        <v>19</v>
      </c>
      <c r="CA85" s="73">
        <f>VLOOKUP(UNINASSAU.[[#This Row],[CURSO]],'[1]POS_VIVO_0112 a 3101_CAMP. REG)'!$F$333:$J$447,5,FALSE)</f>
        <v>728.81720700000005</v>
      </c>
      <c r="CB85" s="124" t="s">
        <v>373</v>
      </c>
      <c r="CC85" s="73">
        <f>VLOOKUP(UNINASSAU.[[#This Row],[CURSO]],'[1]POS_VIVO_0112 a 3101_CAMP. REG)'!$F$333:$M$447,8,FALSE)</f>
        <v>655.94</v>
      </c>
      <c r="CD85" s="124" t="s">
        <v>373</v>
      </c>
      <c r="CE85" s="73">
        <f>VLOOKUP(UNINASSAU.[[#This Row],[CURSO]],'[1]POS_VIVO_0112 a 3101_CAMP. REG)'!$F$333:$Q$447,12,FALSE)</f>
        <v>655.94</v>
      </c>
      <c r="CM85" s="69"/>
      <c r="CN85" s="69"/>
      <c r="CP85" s="104">
        <v>82</v>
      </c>
      <c r="CQ85" s="121" t="s">
        <v>312</v>
      </c>
    </row>
    <row r="86" spans="14:95" ht="16.5" customHeight="1" x14ac:dyDescent="0.25">
      <c r="N86" s="121" t="s">
        <v>39</v>
      </c>
      <c r="O86" s="69" t="s">
        <v>19</v>
      </c>
      <c r="P86" s="69" t="str">
        <f>VLOOKUP(UNIFAEL.[[#This Row],[CURSO]],'[1]POS_VIVO_0112 a 3101_CAMP. REG)'!$F$5:$G$113,2,FALSE)</f>
        <v>Educação</v>
      </c>
      <c r="Q86" s="68">
        <f>VLOOKUP(UNIFAEL.[[#This Row],[CURSO]],'[1]POS_VIVO_0112 a 3101_CAMP. REG)'!$F$5:$H$113,3,FALSE)</f>
        <v>12</v>
      </c>
      <c r="R86" s="68">
        <f>VLOOKUP(UNIFAEL.[[#This Row],[CURSO]],'[1]POS_VIVO_0112 a 3101_CAMP. REG)'!$F$5:$I$113,4,FALSE)</f>
        <v>19</v>
      </c>
      <c r="S86" s="73">
        <f>VLOOKUP(UNIFAEL.[[#This Row],[CURSO]],'[1]POS_VIVO_0112 a 3101_CAMP. REG)'!$F$5:$J$113,5,FALSE)</f>
        <v>262.27804200000003</v>
      </c>
      <c r="T86" s="124">
        <f>VLOOKUP(UNIFAEL.[[#This Row],[CURSO]],'[1]POS_VIVO_0112 a 3101_CAMP. REG)'!$F$5:$L$113,7,FALSE)</f>
        <v>0.5</v>
      </c>
      <c r="U86" s="71">
        <f>VLOOKUP(UNIFAEL.[[#This Row],[CURSO]],'[1]POS_VIVO_0112 a 3101_CAMP. REG)'!$F$5:$M$113,8,FALSE)</f>
        <v>118.03</v>
      </c>
      <c r="V86" s="72">
        <f>VLOOKUP(UNIFAEL.[[#This Row],[CURSO]],'[1]POS_VIVO_0112 a 3101_CAMP. REG)'!$F$5:$P$113,11,FALSE)</f>
        <v>0.55000000000000004</v>
      </c>
      <c r="W86" s="73">
        <f>VLOOKUP(UNIFAEL.[[#This Row],[CURSO]],'[1]POS_VIVO_0112 a 3101_CAMP. REG)'!$F$5:$Q$113,12,FALSE)</f>
        <v>106.22</v>
      </c>
      <c r="X86" s="75">
        <f>UNIFAEL.[[#This Row],[Nº Parcelas]]</f>
        <v>19</v>
      </c>
      <c r="Y86" s="75">
        <f>UNIFAEL.[[#This Row],[Nº Parcelas normal2]]-1</f>
        <v>18</v>
      </c>
      <c r="Z86" s="73">
        <f>UNIFAEL.[[#This Row],[$ NORMAL]]</f>
        <v>262.27804200000003</v>
      </c>
      <c r="AA86" s="72">
        <f>UNIFAEL.[[#This Row],[%  SITE]]</f>
        <v>0.5</v>
      </c>
      <c r="AB86" s="73">
        <f>UNIFAEL.[[#This Row],[$ SITE]]</f>
        <v>118.03</v>
      </c>
      <c r="AC86" s="72">
        <f>UNIFAEL.[[#This Row],[%  SGP]]</f>
        <v>0.55000000000000004</v>
      </c>
      <c r="AD86" s="73">
        <f>UNIFAEL.[[#This Row],[$ SGP]]</f>
        <v>106.22</v>
      </c>
      <c r="AE86" s="69" t="s">
        <v>371</v>
      </c>
      <c r="AF86" s="69" t="s">
        <v>372</v>
      </c>
      <c r="AH86" s="121" t="s">
        <v>39</v>
      </c>
      <c r="AI86" s="69" t="s">
        <v>19</v>
      </c>
      <c r="AJ86" s="69" t="str">
        <f>VLOOKUP(UNAMA.[[#This Row],[PARCELA MATRICULA NÃO PAGA]],'[1]POS_VIVO_0112 a 3101_CAMP. REG)'!$F$115:$G$222,2,FALSE)</f>
        <v>Educação</v>
      </c>
      <c r="AK86" s="69">
        <f>VLOOKUP(UNAMA.[[#This Row],[PARCELA MATRICULA NÃO PAGA]],'[1]POS_VIVO_0112 a 3101_CAMP. REG)'!$F$115:$H$222,3,FALSE)</f>
        <v>12</v>
      </c>
      <c r="AL86" s="69">
        <f>VLOOKUP(UNAMA.[[#This Row],[PARCELA MATRICULA NÃO PAGA]],'[1]POS_VIVO_0112 a 3101_CAMP. REG)'!$F$115:$I$222,4,FALSE)</f>
        <v>19</v>
      </c>
      <c r="AM86" s="71">
        <f>VLOOKUP(UNAMA.[[#This Row],[PARCELA MATRICULA NÃO PAGA]],'[1]POS_VIVO_0112 a 3101_CAMP. REG)'!$F$115:$J$222,5,FALSE)</f>
        <v>291.43870800000002</v>
      </c>
      <c r="AN86" s="123">
        <f>VLOOKUP(UNAMA.[[#This Row],[PARCELA MATRICULA NÃO PAGA]],'[1]POS_VIVO_0112 a 3101_CAMP. REG)'!$F$115:$L$222,7,FALSE)</f>
        <v>0.5</v>
      </c>
      <c r="AO86" s="73">
        <f>VLOOKUP(UNAMA.[[#This Row],[PARCELA MATRICULA NÃO PAGA]],'[1]POS_VIVO_0112 a 3101_CAMP. REG)'!$F$115:$M$222,8,FALSE)</f>
        <v>131.15</v>
      </c>
      <c r="AP86" s="72">
        <f>VLOOKUP(UNAMA.[[#This Row],[PARCELA MATRICULA NÃO PAGA]],'[1]POS_VIVO_0112 a 3101_CAMP. REG)'!$F$115:$P$222,11,FALSE)</f>
        <v>0.55000000000000004</v>
      </c>
      <c r="AQ86" s="73">
        <f>VLOOKUP(UNAMA.[[#This Row],[PARCELA MATRICULA NÃO PAGA]],'[1]POS_VIVO_0112 a 3101_CAMP. REG)'!$F$115:$Q$222,12,FALSE)</f>
        <v>118.03</v>
      </c>
      <c r="AR86" s="68">
        <f>UNAMA.[[#This Row],[Nº Parcelas]]</f>
        <v>19</v>
      </c>
      <c r="AS86" s="68">
        <f>UNAMA.[[#This Row],[Nº Parcelas normal2]]-1</f>
        <v>18</v>
      </c>
      <c r="AT86" s="71">
        <f>UNAMA.[[#This Row],[$ NORMAL]]</f>
        <v>291.43870800000002</v>
      </c>
      <c r="AU86" s="162">
        <f>UNAMA.[[#This Row],[%  SITE]]</f>
        <v>0.5</v>
      </c>
      <c r="AV86" s="161">
        <f>UNAMA.[[#This Row],[$ SITE]]</f>
        <v>131.15</v>
      </c>
      <c r="AW86" s="162">
        <f>UNAMA.[[#This Row],[%  SGP]]</f>
        <v>0.55000000000000004</v>
      </c>
      <c r="AX86" s="161">
        <f>UNAMA.[[#This Row],[$ SGP]]</f>
        <v>118.03</v>
      </c>
      <c r="AY86" s="69" t="s">
        <v>351</v>
      </c>
      <c r="AZ86" s="69" t="s">
        <v>372</v>
      </c>
      <c r="BB86" s="121" t="s">
        <v>39</v>
      </c>
      <c r="BC86" s="69" t="s">
        <v>19</v>
      </c>
      <c r="BD86" s="68" t="str">
        <f>VLOOKUP(UNG.[[#This Row],[CURSO]],'[1]POS_VIVO_0112 a 3101_CAMP. REG)'!$F$224:$G$331,2,FALSE)</f>
        <v>Educação</v>
      </c>
      <c r="BE86" s="70">
        <f>VLOOKUP(UNG.[[#This Row],[CURSO]],'[1]POS_VIVO_0112 a 3101_CAMP. REG)'!$F$224:$H$331,3,FALSE)</f>
        <v>12</v>
      </c>
      <c r="BF86" s="70">
        <f>VLOOKUP(UNG.[[#This Row],[CURSO]],'[1]POS_VIVO_0112 a 3101_CAMP. REG)'!$F$224:$I$331,4,FALSE)</f>
        <v>19</v>
      </c>
      <c r="BG86" s="73">
        <f>VLOOKUP(UNG.[[#This Row],[CURSO]],'[1]POS_VIVO_0112 a 3101_CAMP. REG)'!$F$224:$J$331,5,FALSE)</f>
        <v>262.27804200000003</v>
      </c>
      <c r="BH86" s="72">
        <f>VLOOKUP(UNG.[[#This Row],[CURSO]],'[1]POS_VIVO_0112 a 3101_CAMP. REG)'!$F$224:$L$331,7,FALSE)</f>
        <v>0.5</v>
      </c>
      <c r="BI86" s="73">
        <f>VLOOKUP(UNG.[[#This Row],[CURSO]],'[1]POS_VIVO_0112 a 3101_CAMP. REG)'!$F$224:$M$331,8,FALSE)</f>
        <v>118.03</v>
      </c>
      <c r="BJ86" s="72">
        <f>VLOOKUP(UNG.[[#This Row],[CURSO]],'[1]POS_VIVO_0112 a 3101_CAMP. REG)'!$F$224:$P$331,11,FALSE)</f>
        <v>0.55000000000000004</v>
      </c>
      <c r="BK86" s="73">
        <f>VLOOKUP(UNG.[[#This Row],[CURSO]],'[1]POS_VIVO_0112 a 3101_CAMP. REG)'!$F$224:$Q$331,12,FALSE)</f>
        <v>106.22</v>
      </c>
      <c r="BL86" s="75">
        <f>UNG.[[#This Row],[Nº Parcelas]]</f>
        <v>19</v>
      </c>
      <c r="BM86" s="75">
        <f>UNG.[[#This Row],[Nº Parcelas normal2]]-1</f>
        <v>18</v>
      </c>
      <c r="BN86" s="73">
        <f>UNG.[[#This Row],[$ NORMAL]]</f>
        <v>262.27804200000003</v>
      </c>
      <c r="BO86" s="72">
        <f>UNG.[[#This Row],[%  SITE]]</f>
        <v>0.5</v>
      </c>
      <c r="BP86" s="73">
        <f>UNG.[[#This Row],[$ SITE]]</f>
        <v>118.03</v>
      </c>
      <c r="BQ86" s="72">
        <f>UNG.[[#This Row],[%  SGP]]</f>
        <v>0.55000000000000004</v>
      </c>
      <c r="BR86" s="73">
        <f>UNG.[[#This Row],[$ SGP]]</f>
        <v>106.22</v>
      </c>
      <c r="BS86" s="69" t="s">
        <v>351</v>
      </c>
      <c r="BT86" s="69" t="s">
        <v>372</v>
      </c>
      <c r="BV86" s="121" t="s">
        <v>39</v>
      </c>
      <c r="BW86" s="69" t="s">
        <v>19</v>
      </c>
      <c r="BX86" s="69" t="str">
        <f>VLOOKUP(UNINASSAU.[[#This Row],[CURSO]],'[1]POS_VIVO_0112 a 3101_CAMP. REG)'!$F$333:$G$447,2,FALSE)</f>
        <v>Educação</v>
      </c>
      <c r="BY86" s="68">
        <f>VLOOKUP(UNINASSAU.[[#This Row],[CURSO]],'[1]POS_VIVO_0112 a 3101_CAMP. REG)'!$F$333:$H$447,3,FALSE)</f>
        <v>12</v>
      </c>
      <c r="BZ86" s="68">
        <f>VLOOKUP(UNINASSAU.[[#This Row],[CURSO]],'[1]POS_VIVO_0112 a 3101_CAMP. REG)'!$F$333:$I$447,4,FALSE)</f>
        <v>19</v>
      </c>
      <c r="CA86" s="73">
        <f>VLOOKUP(UNINASSAU.[[#This Row],[CURSO]],'[1]POS_VIVO_0112 a 3101_CAMP. REG)'!$F$333:$J$447,5,FALSE)</f>
        <v>262.27804200000003</v>
      </c>
      <c r="CB86" s="72">
        <f>VLOOKUP(UNINASSAU.[[#This Row],[CURSO]],'[1]POS_VIVO_0112 a 3101_CAMP. REG)'!$F$333:$L$447,7,FALSE)</f>
        <v>0.5</v>
      </c>
      <c r="CC86" s="73">
        <f>VLOOKUP(UNINASSAU.[[#This Row],[CURSO]],'[1]POS_VIVO_0112 a 3101_CAMP. REG)'!$F$333:$M$447,8,FALSE)</f>
        <v>118.03</v>
      </c>
      <c r="CD86" s="72">
        <f>VLOOKUP(UNINASSAU.[[#This Row],[CURSO]],'[1]POS_VIVO_0112 a 3101_CAMP. REG)'!$F$333:$P$447,11,FALSE)</f>
        <v>0.55000000000000004</v>
      </c>
      <c r="CE86" s="73">
        <f>VLOOKUP(UNINASSAU.[[#This Row],[CURSO]],'[1]POS_VIVO_0112 a 3101_CAMP. REG)'!$F$333:$Q$447,12,FALSE)</f>
        <v>106.22</v>
      </c>
      <c r="CM86" s="69"/>
      <c r="CN86" s="69"/>
      <c r="CP86" s="104">
        <v>83</v>
      </c>
      <c r="CQ86" s="121" t="s">
        <v>310</v>
      </c>
    </row>
    <row r="87" spans="14:95" ht="16.5" customHeight="1" x14ac:dyDescent="0.25">
      <c r="N87" s="121" t="s">
        <v>333</v>
      </c>
      <c r="O87" s="69" t="s">
        <v>19</v>
      </c>
      <c r="P87" s="69" t="str">
        <f>VLOOKUP(UNIFAEL.[[#This Row],[CURSO]],'[1]POS_VIVO_0112 a 3101_CAMP. REG)'!$F$5:$G$113,2,FALSE)</f>
        <v>Educação</v>
      </c>
      <c r="Q87" s="68">
        <f>VLOOKUP(UNIFAEL.[[#This Row],[CURSO]],'[1]POS_VIVO_0112 a 3101_CAMP. REG)'!$F$5:$H$113,3,FALSE)</f>
        <v>12</v>
      </c>
      <c r="R87" s="68">
        <f>VLOOKUP(UNIFAEL.[[#This Row],[CURSO]],'[1]POS_VIVO_0112 a 3101_CAMP. REG)'!$F$5:$I$113,4,FALSE)</f>
        <v>19</v>
      </c>
      <c r="S87" s="73">
        <f>VLOOKUP(UNIFAEL.[[#This Row],[CURSO]],'[1]POS_VIVO_0112 a 3101_CAMP. REG)'!$F$5:$J$113,5,FALSE)</f>
        <v>367.39500000000004</v>
      </c>
      <c r="T87" s="124">
        <f>VLOOKUP(UNIFAEL.[[#This Row],[CURSO]],'[1]POS_VIVO_0112 a 3101_CAMP. REG)'!$F$5:$L$113,7,FALSE)</f>
        <v>0.4</v>
      </c>
      <c r="U87" s="71">
        <f>VLOOKUP(UNIFAEL.[[#This Row],[CURSO]],'[1]POS_VIVO_0112 a 3101_CAMP. REG)'!$F$5:$M$113,8,FALSE)</f>
        <v>198.39</v>
      </c>
      <c r="V87" s="72">
        <f>VLOOKUP(UNIFAEL.[[#This Row],[CURSO]],'[1]POS_VIVO_0112 a 3101_CAMP. REG)'!$F$5:$P$113,11,FALSE)</f>
        <v>0.45</v>
      </c>
      <c r="W87" s="73">
        <f>VLOOKUP(UNIFAEL.[[#This Row],[CURSO]],'[1]POS_VIVO_0112 a 3101_CAMP. REG)'!$F$5:$Q$113,12,FALSE)</f>
        <v>181.86</v>
      </c>
      <c r="X87" s="75">
        <f>UNIFAEL.[[#This Row],[Nº Parcelas]]</f>
        <v>19</v>
      </c>
      <c r="Y87" s="75">
        <f>UNIFAEL.[[#This Row],[Nº Parcelas normal2]]-1</f>
        <v>18</v>
      </c>
      <c r="Z87" s="73">
        <f>UNIFAEL.[[#This Row],[$ NORMAL]]</f>
        <v>367.39500000000004</v>
      </c>
      <c r="AA87" s="72">
        <f>UNIFAEL.[[#This Row],[%  SITE]]</f>
        <v>0.4</v>
      </c>
      <c r="AB87" s="73">
        <f>UNIFAEL.[[#This Row],[$ SITE]]</f>
        <v>198.39</v>
      </c>
      <c r="AC87" s="72">
        <f>UNIFAEL.[[#This Row],[%  SGP]]</f>
        <v>0.45</v>
      </c>
      <c r="AD87" s="73">
        <f>UNIFAEL.[[#This Row],[$ SGP]]</f>
        <v>181.86</v>
      </c>
      <c r="AE87" s="69" t="s">
        <v>371</v>
      </c>
      <c r="AF87" s="69" t="s">
        <v>372</v>
      </c>
      <c r="AH87" s="121" t="s">
        <v>333</v>
      </c>
      <c r="AI87" s="69" t="s">
        <v>19</v>
      </c>
      <c r="AJ87" s="69" t="str">
        <f>VLOOKUP(UNAMA.[[#This Row],[PARCELA MATRICULA NÃO PAGA]],'[1]POS_VIVO_0112 a 3101_CAMP. REG)'!$F$115:$G$222,2,FALSE)</f>
        <v>Educação</v>
      </c>
      <c r="AK87" s="69">
        <f>VLOOKUP(UNAMA.[[#This Row],[PARCELA MATRICULA NÃO PAGA]],'[1]POS_VIVO_0112 a 3101_CAMP. REG)'!$F$115:$H$222,3,FALSE)</f>
        <v>12</v>
      </c>
      <c r="AL87" s="69">
        <f>VLOOKUP(UNAMA.[[#This Row],[PARCELA MATRICULA NÃO PAGA]],'[1]POS_VIVO_0112 a 3101_CAMP. REG)'!$F$115:$I$222,4,FALSE)</f>
        <v>19</v>
      </c>
      <c r="AM87" s="71">
        <f>VLOOKUP(UNAMA.[[#This Row],[PARCELA MATRICULA NÃO PAGA]],'[1]POS_VIVO_0112 a 3101_CAMP. REG)'!$F$115:$J$222,5,FALSE)</f>
        <v>404.13450000000012</v>
      </c>
      <c r="AN87" s="123">
        <f>VLOOKUP(UNAMA.[[#This Row],[PARCELA MATRICULA NÃO PAGA]],'[1]POS_VIVO_0112 a 3101_CAMP. REG)'!$F$115:$L$222,7,FALSE)</f>
        <v>0.4</v>
      </c>
      <c r="AO87" s="73">
        <f>VLOOKUP(UNAMA.[[#This Row],[PARCELA MATRICULA NÃO PAGA]],'[1]POS_VIVO_0112 a 3101_CAMP. REG)'!$F$115:$M$222,8,FALSE)</f>
        <v>218.23</v>
      </c>
      <c r="AP87" s="72">
        <f>VLOOKUP(UNAMA.[[#This Row],[PARCELA MATRICULA NÃO PAGA]],'[1]POS_VIVO_0112 a 3101_CAMP. REG)'!$F$115:$P$222,11,FALSE)</f>
        <v>0.45</v>
      </c>
      <c r="AQ87" s="73">
        <f>VLOOKUP(UNAMA.[[#This Row],[PARCELA MATRICULA NÃO PAGA]],'[1]POS_VIVO_0112 a 3101_CAMP. REG)'!$F$115:$Q$222,12,FALSE)</f>
        <v>200.05</v>
      </c>
      <c r="AR87" s="68">
        <f>UNAMA.[[#This Row],[Nº Parcelas]]</f>
        <v>19</v>
      </c>
      <c r="AS87" s="68">
        <f>UNAMA.[[#This Row],[Nº Parcelas normal2]]-1</f>
        <v>18</v>
      </c>
      <c r="AT87" s="71">
        <f>UNAMA.[[#This Row],[$ NORMAL]]</f>
        <v>404.13450000000012</v>
      </c>
      <c r="AU87" s="162">
        <f>UNAMA.[[#This Row],[%  SITE]]</f>
        <v>0.4</v>
      </c>
      <c r="AV87" s="161">
        <f>UNAMA.[[#This Row],[$ SITE]]</f>
        <v>218.23</v>
      </c>
      <c r="AW87" s="162">
        <f>UNAMA.[[#This Row],[%  SGP]]</f>
        <v>0.45</v>
      </c>
      <c r="AX87" s="161">
        <f>UNAMA.[[#This Row],[$ SGP]]</f>
        <v>200.05</v>
      </c>
      <c r="AY87" s="69" t="s">
        <v>351</v>
      </c>
      <c r="AZ87" s="69" t="s">
        <v>372</v>
      </c>
      <c r="BB87" s="121" t="s">
        <v>333</v>
      </c>
      <c r="BC87" s="69" t="s">
        <v>19</v>
      </c>
      <c r="BD87" s="68" t="str">
        <f>VLOOKUP(UNG.[[#This Row],[CURSO]],'[1]POS_VIVO_0112 a 3101_CAMP. REG)'!$F$224:$G$331,2,FALSE)</f>
        <v>Educação</v>
      </c>
      <c r="BE87" s="70">
        <f>VLOOKUP(UNG.[[#This Row],[CURSO]],'[1]POS_VIVO_0112 a 3101_CAMP. REG)'!$F$224:$H$331,3,FALSE)</f>
        <v>12</v>
      </c>
      <c r="BF87" s="70">
        <f>VLOOKUP(UNG.[[#This Row],[CURSO]],'[1]POS_VIVO_0112 a 3101_CAMP. REG)'!$F$224:$I$331,4,FALSE)</f>
        <v>19</v>
      </c>
      <c r="BG87" s="73">
        <f>VLOOKUP(UNG.[[#This Row],[CURSO]],'[1]POS_VIVO_0112 a 3101_CAMP. REG)'!$F$224:$J$331,5,FALSE)</f>
        <v>367.39500000000004</v>
      </c>
      <c r="BH87" s="72">
        <f>VLOOKUP(UNG.[[#This Row],[CURSO]],'[1]POS_VIVO_0112 a 3101_CAMP. REG)'!$F$224:$L$331,7,FALSE)</f>
        <v>0.4</v>
      </c>
      <c r="BI87" s="73">
        <f>VLOOKUP(UNG.[[#This Row],[CURSO]],'[1]POS_VIVO_0112 a 3101_CAMP. REG)'!$F$224:$M$331,8,FALSE)</f>
        <v>198.39</v>
      </c>
      <c r="BJ87" s="72">
        <f>VLOOKUP(UNG.[[#This Row],[CURSO]],'[1]POS_VIVO_0112 a 3101_CAMP. REG)'!$F$224:$P$331,11,FALSE)</f>
        <v>0.45</v>
      </c>
      <c r="BK87" s="73">
        <f>VLOOKUP(UNG.[[#This Row],[CURSO]],'[1]POS_VIVO_0112 a 3101_CAMP. REG)'!$F$224:$Q$331,12,FALSE)</f>
        <v>181.86</v>
      </c>
      <c r="BL87" s="75">
        <f>UNG.[[#This Row],[Nº Parcelas]]</f>
        <v>19</v>
      </c>
      <c r="BM87" s="75">
        <f>UNG.[[#This Row],[Nº Parcelas normal2]]-1</f>
        <v>18</v>
      </c>
      <c r="BN87" s="73">
        <f>UNG.[[#This Row],[$ NORMAL]]</f>
        <v>367.39500000000004</v>
      </c>
      <c r="BO87" s="72">
        <f>UNG.[[#This Row],[%  SITE]]</f>
        <v>0.4</v>
      </c>
      <c r="BP87" s="73">
        <f>UNG.[[#This Row],[$ SITE]]</f>
        <v>198.39</v>
      </c>
      <c r="BQ87" s="72">
        <f>UNG.[[#This Row],[%  SGP]]</f>
        <v>0.45</v>
      </c>
      <c r="BR87" s="73">
        <f>UNG.[[#This Row],[$ SGP]]</f>
        <v>181.86</v>
      </c>
      <c r="BS87" s="69" t="s">
        <v>351</v>
      </c>
      <c r="BT87" s="69" t="s">
        <v>372</v>
      </c>
      <c r="BV87" s="121" t="s">
        <v>333</v>
      </c>
      <c r="BW87" s="69" t="s">
        <v>19</v>
      </c>
      <c r="BX87" s="69" t="str">
        <f>VLOOKUP(UNINASSAU.[[#This Row],[CURSO]],'[1]POS_VIVO_0112 a 3101_CAMP. REG)'!$F$333:$G$447,2,FALSE)</f>
        <v>Educação</v>
      </c>
      <c r="BY87" s="68">
        <f>VLOOKUP(UNINASSAU.[[#This Row],[CURSO]],'[1]POS_VIVO_0112 a 3101_CAMP. REG)'!$F$333:$H$447,3,FALSE)</f>
        <v>12</v>
      </c>
      <c r="BZ87" s="68">
        <f>VLOOKUP(UNINASSAU.[[#This Row],[CURSO]],'[1]POS_VIVO_0112 a 3101_CAMP. REG)'!$F$333:$I$447,4,FALSE)</f>
        <v>19</v>
      </c>
      <c r="CA87" s="73">
        <f>VLOOKUP(UNINASSAU.[[#This Row],[CURSO]],'[1]POS_VIVO_0112 a 3101_CAMP. REG)'!$F$333:$J$447,5,FALSE)</f>
        <v>367.39500000000004</v>
      </c>
      <c r="CB87" s="72">
        <f>VLOOKUP(UNINASSAU.[[#This Row],[CURSO]],'[1]POS_VIVO_0112 a 3101_CAMP. REG)'!$F$333:$L$447,7,FALSE)</f>
        <v>0.4</v>
      </c>
      <c r="CC87" s="73">
        <f>VLOOKUP(UNINASSAU.[[#This Row],[CURSO]],'[1]POS_VIVO_0112 a 3101_CAMP. REG)'!$F$333:$M$447,8,FALSE)</f>
        <v>198.39</v>
      </c>
      <c r="CD87" s="72">
        <f>VLOOKUP(UNINASSAU.[[#This Row],[CURSO]],'[1]POS_VIVO_0112 a 3101_CAMP. REG)'!$F$333:$P$447,11,FALSE)</f>
        <v>0.45</v>
      </c>
      <c r="CE87" s="73">
        <f>VLOOKUP(UNINASSAU.[[#This Row],[CURSO]],'[1]POS_VIVO_0112 a 3101_CAMP. REG)'!$F$333:$Q$447,12,FALSE)</f>
        <v>181.86</v>
      </c>
      <c r="CM87" s="69"/>
      <c r="CN87" s="69"/>
      <c r="CP87" s="104">
        <v>84</v>
      </c>
      <c r="CQ87" s="121" t="s">
        <v>328</v>
      </c>
    </row>
    <row r="88" spans="14:95" ht="16.5" customHeight="1" x14ac:dyDescent="0.25">
      <c r="N88" s="121" t="s">
        <v>82</v>
      </c>
      <c r="O88" s="69" t="s">
        <v>19</v>
      </c>
      <c r="P88" s="69" t="str">
        <f>VLOOKUP(UNIFAEL.[[#This Row],[CURSO]],'[1]POS_VIVO_0112 a 3101_CAMP. REG)'!$F$5:$G$113,2,FALSE)</f>
        <v>Educação</v>
      </c>
      <c r="Q88" s="68">
        <f>VLOOKUP(UNIFAEL.[[#This Row],[CURSO]],'[1]POS_VIVO_0112 a 3101_CAMP. REG)'!$F$5:$H$113,3,FALSE)</f>
        <v>12</v>
      </c>
      <c r="R88" s="68">
        <f>VLOOKUP(UNIFAEL.[[#This Row],[CURSO]],'[1]POS_VIVO_0112 a 3101_CAMP. REG)'!$F$5:$I$113,4,FALSE)</f>
        <v>19</v>
      </c>
      <c r="S88" s="73">
        <f>VLOOKUP(UNIFAEL.[[#This Row],[CURSO]],'[1]POS_VIVO_0112 a 3101_CAMP. REG)'!$F$5:$J$113,5,FALSE)</f>
        <v>367.39500000000004</v>
      </c>
      <c r="T88" s="124">
        <f>VLOOKUP(UNIFAEL.[[#This Row],[CURSO]],'[1]POS_VIVO_0112 a 3101_CAMP. REG)'!$F$5:$L$113,7,FALSE)</f>
        <v>0.4</v>
      </c>
      <c r="U88" s="71">
        <f>VLOOKUP(UNIFAEL.[[#This Row],[CURSO]],'[1]POS_VIVO_0112 a 3101_CAMP. REG)'!$F$5:$M$113,8,FALSE)</f>
        <v>198.39</v>
      </c>
      <c r="V88" s="72">
        <f>VLOOKUP(UNIFAEL.[[#This Row],[CURSO]],'[1]POS_VIVO_0112 a 3101_CAMP. REG)'!$F$5:$P$113,11,FALSE)</f>
        <v>0.45</v>
      </c>
      <c r="W88" s="73">
        <f>VLOOKUP(UNIFAEL.[[#This Row],[CURSO]],'[1]POS_VIVO_0112 a 3101_CAMP. REG)'!$F$5:$Q$113,12,FALSE)</f>
        <v>181.86</v>
      </c>
      <c r="X88" s="75">
        <f>UNIFAEL.[[#This Row],[Nº Parcelas]]</f>
        <v>19</v>
      </c>
      <c r="Y88" s="75">
        <f>UNIFAEL.[[#This Row],[Nº Parcelas normal2]]-1</f>
        <v>18</v>
      </c>
      <c r="Z88" s="73">
        <f>UNIFAEL.[[#This Row],[$ NORMAL]]</f>
        <v>367.39500000000004</v>
      </c>
      <c r="AA88" s="72">
        <f>UNIFAEL.[[#This Row],[%  SITE]]</f>
        <v>0.4</v>
      </c>
      <c r="AB88" s="73">
        <f>UNIFAEL.[[#This Row],[$ SITE]]</f>
        <v>198.39</v>
      </c>
      <c r="AC88" s="72">
        <f>UNIFAEL.[[#This Row],[%  SGP]]</f>
        <v>0.45</v>
      </c>
      <c r="AD88" s="73">
        <f>UNIFAEL.[[#This Row],[$ SGP]]</f>
        <v>181.86</v>
      </c>
      <c r="AE88" s="69" t="s">
        <v>371</v>
      </c>
      <c r="AF88" s="69" t="s">
        <v>372</v>
      </c>
      <c r="AH88" s="121" t="s">
        <v>82</v>
      </c>
      <c r="AI88" s="69" t="s">
        <v>19</v>
      </c>
      <c r="AJ88" s="69" t="str">
        <f>VLOOKUP(UNAMA.[[#This Row],[PARCELA MATRICULA NÃO PAGA]],'[1]POS_VIVO_0112 a 3101_CAMP. REG)'!$F$115:$G$222,2,FALSE)</f>
        <v>Educação</v>
      </c>
      <c r="AK88" s="69">
        <f>VLOOKUP(UNAMA.[[#This Row],[PARCELA MATRICULA NÃO PAGA]],'[1]POS_VIVO_0112 a 3101_CAMP. REG)'!$F$115:$H$222,3,FALSE)</f>
        <v>12</v>
      </c>
      <c r="AL88" s="69">
        <f>VLOOKUP(UNAMA.[[#This Row],[PARCELA MATRICULA NÃO PAGA]],'[1]POS_VIVO_0112 a 3101_CAMP. REG)'!$F$115:$I$222,4,FALSE)</f>
        <v>19</v>
      </c>
      <c r="AM88" s="71">
        <f>VLOOKUP(UNAMA.[[#This Row],[PARCELA MATRICULA NÃO PAGA]],'[1]POS_VIVO_0112 a 3101_CAMP. REG)'!$F$115:$J$222,5,FALSE)</f>
        <v>404.1345</v>
      </c>
      <c r="AN88" s="123">
        <f>VLOOKUP(UNAMA.[[#This Row],[PARCELA MATRICULA NÃO PAGA]],'[1]POS_VIVO_0112 a 3101_CAMP. REG)'!$F$115:$L$222,7,FALSE)</f>
        <v>0.4</v>
      </c>
      <c r="AO88" s="73">
        <f>VLOOKUP(UNAMA.[[#This Row],[PARCELA MATRICULA NÃO PAGA]],'[1]POS_VIVO_0112 a 3101_CAMP. REG)'!$F$115:$M$222,8,FALSE)</f>
        <v>218.23</v>
      </c>
      <c r="AP88" s="72">
        <f>VLOOKUP(UNAMA.[[#This Row],[PARCELA MATRICULA NÃO PAGA]],'[1]POS_VIVO_0112 a 3101_CAMP. REG)'!$F$115:$P$222,11,FALSE)</f>
        <v>0.45</v>
      </c>
      <c r="AQ88" s="73">
        <f>VLOOKUP(UNAMA.[[#This Row],[PARCELA MATRICULA NÃO PAGA]],'[1]POS_VIVO_0112 a 3101_CAMP. REG)'!$F$115:$Q$222,12,FALSE)</f>
        <v>200.05</v>
      </c>
      <c r="AR88" s="68">
        <f>UNAMA.[[#This Row],[Nº Parcelas]]</f>
        <v>19</v>
      </c>
      <c r="AS88" s="68">
        <f>UNAMA.[[#This Row],[Nº Parcelas normal2]]-1</f>
        <v>18</v>
      </c>
      <c r="AT88" s="71">
        <f>UNAMA.[[#This Row],[$ NORMAL]]</f>
        <v>404.1345</v>
      </c>
      <c r="AU88" s="162">
        <f>UNAMA.[[#This Row],[%  SITE]]</f>
        <v>0.4</v>
      </c>
      <c r="AV88" s="161">
        <f>UNAMA.[[#This Row],[$ SITE]]</f>
        <v>218.23</v>
      </c>
      <c r="AW88" s="162">
        <f>UNAMA.[[#This Row],[%  SGP]]</f>
        <v>0.45</v>
      </c>
      <c r="AX88" s="161">
        <f>UNAMA.[[#This Row],[$ SGP]]</f>
        <v>200.05</v>
      </c>
      <c r="AY88" s="69" t="s">
        <v>351</v>
      </c>
      <c r="AZ88" s="69" t="s">
        <v>372</v>
      </c>
      <c r="BB88" s="121" t="s">
        <v>82</v>
      </c>
      <c r="BC88" s="69" t="s">
        <v>19</v>
      </c>
      <c r="BD88" s="68" t="str">
        <f>VLOOKUP(UNG.[[#This Row],[CURSO]],'[1]POS_VIVO_0112 a 3101_CAMP. REG)'!$F$224:$G$331,2,FALSE)</f>
        <v>Educação</v>
      </c>
      <c r="BE88" s="70">
        <f>VLOOKUP(UNG.[[#This Row],[CURSO]],'[1]POS_VIVO_0112 a 3101_CAMP. REG)'!$F$224:$H$331,3,FALSE)</f>
        <v>12</v>
      </c>
      <c r="BF88" s="70">
        <f>VLOOKUP(UNG.[[#This Row],[CURSO]],'[1]POS_VIVO_0112 a 3101_CAMP. REG)'!$F$224:$I$331,4,FALSE)</f>
        <v>19</v>
      </c>
      <c r="BG88" s="73">
        <f>VLOOKUP(UNG.[[#This Row],[CURSO]],'[1]POS_VIVO_0112 a 3101_CAMP. REG)'!$F$224:$J$331,5,FALSE)</f>
        <v>367.39500000000004</v>
      </c>
      <c r="BH88" s="72">
        <f>VLOOKUP(UNG.[[#This Row],[CURSO]],'[1]POS_VIVO_0112 a 3101_CAMP. REG)'!$F$224:$L$331,7,FALSE)</f>
        <v>0.4</v>
      </c>
      <c r="BI88" s="73">
        <f>VLOOKUP(UNG.[[#This Row],[CURSO]],'[1]POS_VIVO_0112 a 3101_CAMP. REG)'!$F$224:$M$331,8,FALSE)</f>
        <v>198.39</v>
      </c>
      <c r="BJ88" s="72">
        <f>VLOOKUP(UNG.[[#This Row],[CURSO]],'[1]POS_VIVO_0112 a 3101_CAMP. REG)'!$F$224:$P$331,11,FALSE)</f>
        <v>0.45</v>
      </c>
      <c r="BK88" s="73">
        <f>VLOOKUP(UNG.[[#This Row],[CURSO]],'[1]POS_VIVO_0112 a 3101_CAMP. REG)'!$F$224:$Q$331,12,FALSE)</f>
        <v>181.86</v>
      </c>
      <c r="BL88" s="75">
        <f>UNG.[[#This Row],[Nº Parcelas]]</f>
        <v>19</v>
      </c>
      <c r="BM88" s="75">
        <f>UNG.[[#This Row],[Nº Parcelas normal2]]-1</f>
        <v>18</v>
      </c>
      <c r="BN88" s="73">
        <f>UNG.[[#This Row],[$ NORMAL]]</f>
        <v>367.39500000000004</v>
      </c>
      <c r="BO88" s="72">
        <f>UNG.[[#This Row],[%  SITE]]</f>
        <v>0.4</v>
      </c>
      <c r="BP88" s="73">
        <f>UNG.[[#This Row],[$ SITE]]</f>
        <v>198.39</v>
      </c>
      <c r="BQ88" s="72">
        <f>UNG.[[#This Row],[%  SGP]]</f>
        <v>0.45</v>
      </c>
      <c r="BR88" s="73">
        <f>UNG.[[#This Row],[$ SGP]]</f>
        <v>181.86</v>
      </c>
      <c r="BS88" s="69" t="s">
        <v>351</v>
      </c>
      <c r="BT88" s="69" t="s">
        <v>372</v>
      </c>
      <c r="BV88" s="121" t="s">
        <v>82</v>
      </c>
      <c r="BW88" s="69" t="s">
        <v>19</v>
      </c>
      <c r="BX88" s="69" t="str">
        <f>VLOOKUP(UNINASSAU.[[#This Row],[CURSO]],'[1]POS_VIVO_0112 a 3101_CAMP. REG)'!$F$333:$G$447,2,FALSE)</f>
        <v>Educação</v>
      </c>
      <c r="BY88" s="68">
        <f>VLOOKUP(UNINASSAU.[[#This Row],[CURSO]],'[1]POS_VIVO_0112 a 3101_CAMP. REG)'!$F$333:$H$447,3,FALSE)</f>
        <v>12</v>
      </c>
      <c r="BZ88" s="68">
        <f>VLOOKUP(UNINASSAU.[[#This Row],[CURSO]],'[1]POS_VIVO_0112 a 3101_CAMP. REG)'!$F$333:$I$447,4,FALSE)</f>
        <v>19</v>
      </c>
      <c r="CA88" s="73">
        <f>VLOOKUP(UNINASSAU.[[#This Row],[CURSO]],'[1]POS_VIVO_0112 a 3101_CAMP. REG)'!$F$333:$J$447,5,FALSE)</f>
        <v>367.39500000000004</v>
      </c>
      <c r="CB88" s="72">
        <f>VLOOKUP(UNINASSAU.[[#This Row],[CURSO]],'[1]POS_VIVO_0112 a 3101_CAMP. REG)'!$F$333:$L$447,7,FALSE)</f>
        <v>0.4</v>
      </c>
      <c r="CC88" s="73">
        <f>VLOOKUP(UNINASSAU.[[#This Row],[CURSO]],'[1]POS_VIVO_0112 a 3101_CAMP. REG)'!$F$333:$M$447,8,FALSE)</f>
        <v>198.39</v>
      </c>
      <c r="CD88" s="72">
        <f>VLOOKUP(UNINASSAU.[[#This Row],[CURSO]],'[1]POS_VIVO_0112 a 3101_CAMP. REG)'!$F$333:$P$447,11,FALSE)</f>
        <v>0.45</v>
      </c>
      <c r="CE88" s="73">
        <f>VLOOKUP(UNINASSAU.[[#This Row],[CURSO]],'[1]POS_VIVO_0112 a 3101_CAMP. REG)'!$F$333:$Q$447,12,FALSE)</f>
        <v>181.86</v>
      </c>
      <c r="CM88" s="69"/>
      <c r="CN88" s="69"/>
      <c r="CP88" s="104">
        <v>85</v>
      </c>
      <c r="CQ88" s="121" t="s">
        <v>321</v>
      </c>
    </row>
    <row r="89" spans="14:95" ht="16.5" customHeight="1" x14ac:dyDescent="0.25">
      <c r="N89" s="121" t="s">
        <v>295</v>
      </c>
      <c r="O89" s="69" t="s">
        <v>19</v>
      </c>
      <c r="P89" s="69" t="str">
        <f>VLOOKUP(UNIFAEL.[[#This Row],[CURSO]],'[1]POS_VIVO_0112 a 3101_CAMP. REG)'!$F$5:$G$113,2,FALSE)</f>
        <v>Gestão</v>
      </c>
      <c r="Q89" s="68">
        <f>VLOOKUP(UNIFAEL.[[#This Row],[CURSO]],'[1]POS_VIVO_0112 a 3101_CAMP. REG)'!$F$5:$H$113,3,FALSE)</f>
        <v>15</v>
      </c>
      <c r="R89" s="68">
        <f>VLOOKUP(UNIFAEL.[[#This Row],[CURSO]],'[1]POS_VIVO_0112 a 3101_CAMP. REG)'!$F$5:$I$113,4,FALSE)</f>
        <v>19</v>
      </c>
      <c r="S89" s="73">
        <f>VLOOKUP(UNIFAEL.[[#This Row],[CURSO]],'[1]POS_VIVO_0112 a 3101_CAMP. REG)'!$F$5:$J$113,5,FALSE)</f>
        <v>320.59937400000007</v>
      </c>
      <c r="T89" s="124">
        <f>VLOOKUP(UNIFAEL.[[#This Row],[CURSO]],'[1]POS_VIVO_0112 a 3101_CAMP. REG)'!$F$5:$L$113,7,FALSE)</f>
        <v>0.3</v>
      </c>
      <c r="U89" s="71">
        <f>VLOOKUP(UNIFAEL.[[#This Row],[CURSO]],'[1]POS_VIVO_0112 a 3101_CAMP. REG)'!$F$5:$M$113,8,FALSE)</f>
        <v>201.98</v>
      </c>
      <c r="V89" s="72">
        <f>VLOOKUP(UNIFAEL.[[#This Row],[CURSO]],'[1]POS_VIVO_0112 a 3101_CAMP. REG)'!$F$5:$P$113,11,FALSE)</f>
        <v>0.35</v>
      </c>
      <c r="W89" s="73">
        <f>VLOOKUP(UNIFAEL.[[#This Row],[CURSO]],'[1]POS_VIVO_0112 a 3101_CAMP. REG)'!$F$5:$Q$113,12,FALSE)</f>
        <v>187.55</v>
      </c>
      <c r="X89" s="75">
        <f>UNIFAEL.[[#This Row],[Nº Parcelas]]</f>
        <v>19</v>
      </c>
      <c r="Y89" s="75">
        <f>UNIFAEL.[[#This Row],[Nº Parcelas normal2]]-1</f>
        <v>18</v>
      </c>
      <c r="Z89" s="73">
        <f>UNIFAEL.[[#This Row],[$ NORMAL]]</f>
        <v>320.59937400000007</v>
      </c>
      <c r="AA89" s="72">
        <f>UNIFAEL.[[#This Row],[%  SITE]]</f>
        <v>0.3</v>
      </c>
      <c r="AB89" s="73">
        <f>UNIFAEL.[[#This Row],[$ SITE]]</f>
        <v>201.98</v>
      </c>
      <c r="AC89" s="72">
        <f>UNIFAEL.[[#This Row],[%  SGP]]</f>
        <v>0.35</v>
      </c>
      <c r="AD89" s="73">
        <f>UNIFAEL.[[#This Row],[$ SGP]]</f>
        <v>187.55</v>
      </c>
      <c r="AE89" s="69" t="s">
        <v>371</v>
      </c>
      <c r="AF89" s="69" t="s">
        <v>372</v>
      </c>
      <c r="AH89" s="121" t="s">
        <v>295</v>
      </c>
      <c r="AI89" s="69" t="s">
        <v>19</v>
      </c>
      <c r="AJ89" s="69" t="str">
        <f>VLOOKUP(UNAMA.[[#This Row],[PARCELA MATRICULA NÃO PAGA]],'[1]POS_VIVO_0112 a 3101_CAMP. REG)'!$F$115:$G$222,2,FALSE)</f>
        <v>Gestão</v>
      </c>
      <c r="AK89" s="69">
        <f>VLOOKUP(UNAMA.[[#This Row],[PARCELA MATRICULA NÃO PAGA]],'[1]POS_VIVO_0112 a 3101_CAMP. REG)'!$F$115:$H$222,3,FALSE)</f>
        <v>15</v>
      </c>
      <c r="AL89" s="69">
        <f>VLOOKUP(UNAMA.[[#This Row],[PARCELA MATRICULA NÃO PAGA]],'[1]POS_VIVO_0112 a 3101_CAMP. REG)'!$F$115:$I$222,4,FALSE)</f>
        <v>19</v>
      </c>
      <c r="AM89" s="71">
        <f>VLOOKUP(UNAMA.[[#This Row],[PARCELA MATRICULA NÃO PAGA]],'[1]POS_VIVO_0112 a 3101_CAMP. REG)'!$F$115:$J$222,5,FALSE)</f>
        <v>352.66770900000006</v>
      </c>
      <c r="AN89" s="123">
        <f>VLOOKUP(UNAMA.[[#This Row],[PARCELA MATRICULA NÃO PAGA]],'[1]POS_VIVO_0112 a 3101_CAMP. REG)'!$F$115:$L$222,7,FALSE)</f>
        <v>0.3</v>
      </c>
      <c r="AO89" s="73">
        <f>VLOOKUP(UNAMA.[[#This Row],[PARCELA MATRICULA NÃO PAGA]],'[1]POS_VIVO_0112 a 3101_CAMP. REG)'!$F$115:$M$222,8,FALSE)</f>
        <v>222.18</v>
      </c>
      <c r="AP89" s="72">
        <f>VLOOKUP(UNAMA.[[#This Row],[PARCELA MATRICULA NÃO PAGA]],'[1]POS_VIVO_0112 a 3101_CAMP. REG)'!$F$115:$P$222,11,FALSE)</f>
        <v>0.35</v>
      </c>
      <c r="AQ89" s="73">
        <f>VLOOKUP(UNAMA.[[#This Row],[PARCELA MATRICULA NÃO PAGA]],'[1]POS_VIVO_0112 a 3101_CAMP. REG)'!$F$115:$Q$222,12,FALSE)</f>
        <v>206.31</v>
      </c>
      <c r="AR89" s="68">
        <f>UNAMA.[[#This Row],[Nº Parcelas]]</f>
        <v>19</v>
      </c>
      <c r="AS89" s="68">
        <f>UNAMA.[[#This Row],[Nº Parcelas normal2]]-1</f>
        <v>18</v>
      </c>
      <c r="AT89" s="71">
        <f>UNAMA.[[#This Row],[$ NORMAL]]</f>
        <v>352.66770900000006</v>
      </c>
      <c r="AU89" s="162">
        <f>UNAMA.[[#This Row],[%  SITE]]</f>
        <v>0.3</v>
      </c>
      <c r="AV89" s="161">
        <f>UNAMA.[[#This Row],[$ SITE]]</f>
        <v>222.18</v>
      </c>
      <c r="AW89" s="162">
        <f>UNAMA.[[#This Row],[%  SGP]]</f>
        <v>0.35</v>
      </c>
      <c r="AX89" s="161">
        <f>UNAMA.[[#This Row],[$ SGP]]</f>
        <v>206.31</v>
      </c>
      <c r="AY89" s="69" t="s">
        <v>351</v>
      </c>
      <c r="AZ89" s="69" t="s">
        <v>372</v>
      </c>
      <c r="BB89" s="121" t="s">
        <v>295</v>
      </c>
      <c r="BC89" s="69" t="s">
        <v>19</v>
      </c>
      <c r="BD89" s="68" t="str">
        <f>VLOOKUP(UNG.[[#This Row],[CURSO]],'[1]POS_VIVO_0112 a 3101_CAMP. REG)'!$F$224:$G$331,2,FALSE)</f>
        <v>Gestão</v>
      </c>
      <c r="BE89" s="70">
        <f>VLOOKUP(UNG.[[#This Row],[CURSO]],'[1]POS_VIVO_0112 a 3101_CAMP. REG)'!$F$224:$H$331,3,FALSE)</f>
        <v>15</v>
      </c>
      <c r="BF89" s="70">
        <f>VLOOKUP(UNG.[[#This Row],[CURSO]],'[1]POS_VIVO_0112 a 3101_CAMP. REG)'!$F$224:$I$331,4,FALSE)</f>
        <v>19</v>
      </c>
      <c r="BG89" s="73">
        <f>VLOOKUP(UNG.[[#This Row],[CURSO]],'[1]POS_VIVO_0112 a 3101_CAMP. REG)'!$F$224:$J$331,5,FALSE)</f>
        <v>320.59937400000007</v>
      </c>
      <c r="BH89" s="72">
        <f>VLOOKUP(UNG.[[#This Row],[CURSO]],'[1]POS_VIVO_0112 a 3101_CAMP. REG)'!$F$224:$L$331,7,FALSE)</f>
        <v>0.3</v>
      </c>
      <c r="BI89" s="73">
        <f>VLOOKUP(UNG.[[#This Row],[CURSO]],'[1]POS_VIVO_0112 a 3101_CAMP. REG)'!$F$224:$M$331,8,FALSE)</f>
        <v>201.98</v>
      </c>
      <c r="BJ89" s="72">
        <f>VLOOKUP(UNG.[[#This Row],[CURSO]],'[1]POS_VIVO_0112 a 3101_CAMP. REG)'!$F$224:$P$331,11,FALSE)</f>
        <v>0.35</v>
      </c>
      <c r="BK89" s="73">
        <f>VLOOKUP(UNG.[[#This Row],[CURSO]],'[1]POS_VIVO_0112 a 3101_CAMP. REG)'!$F$224:$Q$331,12,FALSE)</f>
        <v>187.55</v>
      </c>
      <c r="BL89" s="75">
        <f>UNG.[[#This Row],[Nº Parcelas]]</f>
        <v>19</v>
      </c>
      <c r="BM89" s="75">
        <f>UNG.[[#This Row],[Nº Parcelas normal2]]-1</f>
        <v>18</v>
      </c>
      <c r="BN89" s="73">
        <f>UNG.[[#This Row],[$ NORMAL]]</f>
        <v>320.59937400000007</v>
      </c>
      <c r="BO89" s="72">
        <f>UNG.[[#This Row],[%  SITE]]</f>
        <v>0.3</v>
      </c>
      <c r="BP89" s="73">
        <f>UNG.[[#This Row],[$ SITE]]</f>
        <v>201.98</v>
      </c>
      <c r="BQ89" s="72">
        <f>UNG.[[#This Row],[%  SGP]]</f>
        <v>0.35</v>
      </c>
      <c r="BR89" s="73">
        <f>UNG.[[#This Row],[$ SGP]]</f>
        <v>187.55</v>
      </c>
      <c r="BS89" s="69" t="s">
        <v>351</v>
      </c>
      <c r="BT89" s="69" t="s">
        <v>372</v>
      </c>
      <c r="BV89" s="121" t="s">
        <v>295</v>
      </c>
      <c r="BW89" s="69" t="s">
        <v>19</v>
      </c>
      <c r="BX89" s="69" t="str">
        <f>VLOOKUP(UNINASSAU.[[#This Row],[CURSO]],'[1]POS_VIVO_0112 a 3101_CAMP. REG)'!$F$333:$G$447,2,FALSE)</f>
        <v>Gestão</v>
      </c>
      <c r="BY89" s="68">
        <f>VLOOKUP(UNINASSAU.[[#This Row],[CURSO]],'[1]POS_VIVO_0112 a 3101_CAMP. REG)'!$F$333:$H$447,3,FALSE)</f>
        <v>15</v>
      </c>
      <c r="BZ89" s="68">
        <f>VLOOKUP(UNINASSAU.[[#This Row],[CURSO]],'[1]POS_VIVO_0112 a 3101_CAMP. REG)'!$F$333:$I$447,4,FALSE)</f>
        <v>19</v>
      </c>
      <c r="CA89" s="73">
        <f>VLOOKUP(UNINASSAU.[[#This Row],[CURSO]],'[1]POS_VIVO_0112 a 3101_CAMP. REG)'!$F$333:$J$447,5,FALSE)</f>
        <v>320.59937400000007</v>
      </c>
      <c r="CB89" s="72">
        <f>VLOOKUP(UNINASSAU.[[#This Row],[CURSO]],'[1]POS_VIVO_0112 a 3101_CAMP. REG)'!$F$333:$L$447,7,FALSE)</f>
        <v>0.3</v>
      </c>
      <c r="CC89" s="73">
        <f>VLOOKUP(UNINASSAU.[[#This Row],[CURSO]],'[1]POS_VIVO_0112 a 3101_CAMP. REG)'!$F$333:$M$447,8,FALSE)</f>
        <v>201.98</v>
      </c>
      <c r="CD89" s="72">
        <f>VLOOKUP(UNINASSAU.[[#This Row],[CURSO]],'[1]POS_VIVO_0112 a 3101_CAMP. REG)'!$F$333:$P$447,11,FALSE)</f>
        <v>0.35</v>
      </c>
      <c r="CE89" s="73">
        <f>VLOOKUP(UNINASSAU.[[#This Row],[CURSO]],'[1]POS_VIVO_0112 a 3101_CAMP. REG)'!$F$333:$Q$447,12,FALSE)</f>
        <v>187.55</v>
      </c>
      <c r="CM89" s="69"/>
      <c r="CN89" s="69"/>
      <c r="CP89" s="104">
        <v>86</v>
      </c>
      <c r="CQ89" s="121" t="s">
        <v>337</v>
      </c>
    </row>
    <row r="90" spans="14:95" ht="16.5" customHeight="1" x14ac:dyDescent="0.25">
      <c r="N90" s="121" t="s">
        <v>40</v>
      </c>
      <c r="O90" s="69" t="s">
        <v>19</v>
      </c>
      <c r="P90" s="69" t="str">
        <f>VLOOKUP(UNIFAEL.[[#This Row],[CURSO]],'[1]POS_VIVO_0112 a 3101_CAMP. REG)'!$F$5:$G$113,2,FALSE)</f>
        <v>Saúde</v>
      </c>
      <c r="Q90" s="68">
        <f>VLOOKUP(UNIFAEL.[[#This Row],[CURSO]],'[1]POS_VIVO_0112 a 3101_CAMP. REG)'!$F$5:$H$113,3,FALSE)</f>
        <v>12</v>
      </c>
      <c r="R90" s="68">
        <f>VLOOKUP(UNIFAEL.[[#This Row],[CURSO]],'[1]POS_VIVO_0112 a 3101_CAMP. REG)'!$F$5:$I$113,4,FALSE)</f>
        <v>19</v>
      </c>
      <c r="S90" s="73">
        <f>VLOOKUP(UNIFAEL.[[#This Row],[CURSO]],'[1]POS_VIVO_0112 a 3101_CAMP. REG)'!$F$5:$J$113,5,FALSE)</f>
        <v>291.43870800000002</v>
      </c>
      <c r="T90" s="124">
        <f>VLOOKUP(UNIFAEL.[[#This Row],[CURSO]],'[1]POS_VIVO_0112 a 3101_CAMP. REG)'!$F$5:$L$113,7,FALSE)</f>
        <v>0.5</v>
      </c>
      <c r="U90" s="71">
        <f>VLOOKUP(UNIFAEL.[[#This Row],[CURSO]],'[1]POS_VIVO_0112 a 3101_CAMP. REG)'!$F$5:$M$113,8,FALSE)</f>
        <v>131.15</v>
      </c>
      <c r="V90" s="72">
        <f>VLOOKUP(UNIFAEL.[[#This Row],[CURSO]],'[1]POS_VIVO_0112 a 3101_CAMP. REG)'!$F$5:$P$113,11,FALSE)</f>
        <v>0.55000000000000004</v>
      </c>
      <c r="W90" s="73">
        <f>VLOOKUP(UNIFAEL.[[#This Row],[CURSO]],'[1]POS_VIVO_0112 a 3101_CAMP. REG)'!$F$5:$Q$113,12,FALSE)</f>
        <v>118.03</v>
      </c>
      <c r="X90" s="75">
        <f>UNIFAEL.[[#This Row],[Nº Parcelas]]</f>
        <v>19</v>
      </c>
      <c r="Y90" s="75">
        <f>UNIFAEL.[[#This Row],[Nº Parcelas normal2]]-1</f>
        <v>18</v>
      </c>
      <c r="Z90" s="73">
        <f>UNIFAEL.[[#This Row],[$ NORMAL]]</f>
        <v>291.43870800000002</v>
      </c>
      <c r="AA90" s="72">
        <f>UNIFAEL.[[#This Row],[%  SITE]]</f>
        <v>0.5</v>
      </c>
      <c r="AB90" s="73">
        <f>UNIFAEL.[[#This Row],[$ SITE]]</f>
        <v>131.15</v>
      </c>
      <c r="AC90" s="72">
        <f>UNIFAEL.[[#This Row],[%  SGP]]</f>
        <v>0.55000000000000004</v>
      </c>
      <c r="AD90" s="73">
        <f>UNIFAEL.[[#This Row],[$ SGP]]</f>
        <v>118.03</v>
      </c>
      <c r="AE90" s="69" t="s">
        <v>371</v>
      </c>
      <c r="AF90" s="69" t="s">
        <v>372</v>
      </c>
      <c r="AH90" s="121" t="s">
        <v>40</v>
      </c>
      <c r="AI90" s="69" t="s">
        <v>19</v>
      </c>
      <c r="AJ90" s="69" t="str">
        <f>VLOOKUP(UNAMA.[[#This Row],[PARCELA MATRICULA NÃO PAGA]],'[1]POS_VIVO_0112 a 3101_CAMP. REG)'!$F$115:$G$222,2,FALSE)</f>
        <v>Saúde</v>
      </c>
      <c r="AK90" s="69">
        <f>VLOOKUP(UNAMA.[[#This Row],[PARCELA MATRICULA NÃO PAGA]],'[1]POS_VIVO_0112 a 3101_CAMP. REG)'!$F$115:$H$222,3,FALSE)</f>
        <v>12</v>
      </c>
      <c r="AL90" s="69">
        <f>VLOOKUP(UNAMA.[[#This Row],[PARCELA MATRICULA NÃO PAGA]],'[1]POS_VIVO_0112 a 3101_CAMP. REG)'!$F$115:$I$222,4,FALSE)</f>
        <v>19</v>
      </c>
      <c r="AM90" s="71">
        <f>VLOOKUP(UNAMA.[[#This Row],[PARCELA MATRICULA NÃO PAGA]],'[1]POS_VIVO_0112 a 3101_CAMP. REG)'!$F$115:$J$222,5,FALSE)</f>
        <v>320.59937400000007</v>
      </c>
      <c r="AN90" s="123">
        <f>VLOOKUP(UNAMA.[[#This Row],[PARCELA MATRICULA NÃO PAGA]],'[1]POS_VIVO_0112 a 3101_CAMP. REG)'!$F$115:$L$222,7,FALSE)</f>
        <v>0.5</v>
      </c>
      <c r="AO90" s="73">
        <f>VLOOKUP(UNAMA.[[#This Row],[PARCELA MATRICULA NÃO PAGA]],'[1]POS_VIVO_0112 a 3101_CAMP. REG)'!$F$115:$M$222,8,FALSE)</f>
        <v>144.27000000000001</v>
      </c>
      <c r="AP90" s="72">
        <f>VLOOKUP(UNAMA.[[#This Row],[PARCELA MATRICULA NÃO PAGA]],'[1]POS_VIVO_0112 a 3101_CAMP. REG)'!$F$115:$P$222,11,FALSE)</f>
        <v>0.55000000000000004</v>
      </c>
      <c r="AQ90" s="73">
        <f>VLOOKUP(UNAMA.[[#This Row],[PARCELA MATRICULA NÃO PAGA]],'[1]POS_VIVO_0112 a 3101_CAMP. REG)'!$F$115:$Q$222,12,FALSE)</f>
        <v>129.84</v>
      </c>
      <c r="AR90" s="68">
        <f>UNAMA.[[#This Row],[Nº Parcelas]]</f>
        <v>19</v>
      </c>
      <c r="AS90" s="68">
        <f>UNAMA.[[#This Row],[Nº Parcelas normal2]]-1</f>
        <v>18</v>
      </c>
      <c r="AT90" s="71">
        <f>UNAMA.[[#This Row],[$ NORMAL]]</f>
        <v>320.59937400000007</v>
      </c>
      <c r="AU90" s="162">
        <f>UNAMA.[[#This Row],[%  SITE]]</f>
        <v>0.5</v>
      </c>
      <c r="AV90" s="161">
        <f>UNAMA.[[#This Row],[$ SITE]]</f>
        <v>144.27000000000001</v>
      </c>
      <c r="AW90" s="162">
        <f>UNAMA.[[#This Row],[%  SGP]]</f>
        <v>0.55000000000000004</v>
      </c>
      <c r="AX90" s="161">
        <f>UNAMA.[[#This Row],[$ SGP]]</f>
        <v>129.84</v>
      </c>
      <c r="AY90" s="69" t="s">
        <v>351</v>
      </c>
      <c r="AZ90" s="69" t="s">
        <v>372</v>
      </c>
      <c r="BB90" s="121" t="s">
        <v>40</v>
      </c>
      <c r="BC90" s="69" t="s">
        <v>19</v>
      </c>
      <c r="BD90" s="68" t="str">
        <f>VLOOKUP(UNG.[[#This Row],[CURSO]],'[1]POS_VIVO_0112 a 3101_CAMP. REG)'!$F$224:$G$331,2,FALSE)</f>
        <v>Saúde</v>
      </c>
      <c r="BE90" s="70">
        <f>VLOOKUP(UNG.[[#This Row],[CURSO]],'[1]POS_VIVO_0112 a 3101_CAMP. REG)'!$F$224:$H$331,3,FALSE)</f>
        <v>12</v>
      </c>
      <c r="BF90" s="70">
        <f>VLOOKUP(UNG.[[#This Row],[CURSO]],'[1]POS_VIVO_0112 a 3101_CAMP. REG)'!$F$224:$I$331,4,FALSE)</f>
        <v>19</v>
      </c>
      <c r="BG90" s="73">
        <f>VLOOKUP(UNG.[[#This Row],[CURSO]],'[1]POS_VIVO_0112 a 3101_CAMP. REG)'!$F$224:$J$331,5,FALSE)</f>
        <v>291.43870800000002</v>
      </c>
      <c r="BH90" s="72">
        <f>VLOOKUP(UNG.[[#This Row],[CURSO]],'[1]POS_VIVO_0112 a 3101_CAMP. REG)'!$F$224:$L$331,7,FALSE)</f>
        <v>0.5</v>
      </c>
      <c r="BI90" s="73">
        <f>VLOOKUP(UNG.[[#This Row],[CURSO]],'[1]POS_VIVO_0112 a 3101_CAMP. REG)'!$F$224:$M$331,8,FALSE)</f>
        <v>131.15</v>
      </c>
      <c r="BJ90" s="72">
        <f>VLOOKUP(UNG.[[#This Row],[CURSO]],'[1]POS_VIVO_0112 a 3101_CAMP. REG)'!$F$224:$P$331,11,FALSE)</f>
        <v>0.55000000000000004</v>
      </c>
      <c r="BK90" s="73">
        <f>VLOOKUP(UNG.[[#This Row],[CURSO]],'[1]POS_VIVO_0112 a 3101_CAMP. REG)'!$F$224:$Q$331,12,FALSE)</f>
        <v>118.03</v>
      </c>
      <c r="BL90" s="75">
        <f>UNG.[[#This Row],[Nº Parcelas]]</f>
        <v>19</v>
      </c>
      <c r="BM90" s="75">
        <f>UNG.[[#This Row],[Nº Parcelas normal2]]-1</f>
        <v>18</v>
      </c>
      <c r="BN90" s="73">
        <f>UNG.[[#This Row],[$ NORMAL]]</f>
        <v>291.43870800000002</v>
      </c>
      <c r="BO90" s="72">
        <f>UNG.[[#This Row],[%  SITE]]</f>
        <v>0.5</v>
      </c>
      <c r="BP90" s="73">
        <f>UNG.[[#This Row],[$ SITE]]</f>
        <v>131.15</v>
      </c>
      <c r="BQ90" s="72">
        <f>UNG.[[#This Row],[%  SGP]]</f>
        <v>0.55000000000000004</v>
      </c>
      <c r="BR90" s="73">
        <f>UNG.[[#This Row],[$ SGP]]</f>
        <v>118.03</v>
      </c>
      <c r="BS90" s="69" t="s">
        <v>351</v>
      </c>
      <c r="BT90" s="69" t="s">
        <v>372</v>
      </c>
      <c r="BV90" s="121" t="s">
        <v>40</v>
      </c>
      <c r="BW90" s="69" t="s">
        <v>19</v>
      </c>
      <c r="BX90" s="69" t="str">
        <f>VLOOKUP(UNINASSAU.[[#This Row],[CURSO]],'[1]POS_VIVO_0112 a 3101_CAMP. REG)'!$F$333:$G$447,2,FALSE)</f>
        <v>Saúde</v>
      </c>
      <c r="BY90" s="68">
        <f>VLOOKUP(UNINASSAU.[[#This Row],[CURSO]],'[1]POS_VIVO_0112 a 3101_CAMP. REG)'!$F$333:$H$447,3,FALSE)</f>
        <v>12</v>
      </c>
      <c r="BZ90" s="68">
        <f>VLOOKUP(UNINASSAU.[[#This Row],[CURSO]],'[1]POS_VIVO_0112 a 3101_CAMP. REG)'!$F$333:$I$447,4,FALSE)</f>
        <v>19</v>
      </c>
      <c r="CA90" s="73">
        <f>VLOOKUP(UNINASSAU.[[#This Row],[CURSO]],'[1]POS_VIVO_0112 a 3101_CAMP. REG)'!$F$333:$J$447,5,FALSE)</f>
        <v>291.43870800000002</v>
      </c>
      <c r="CB90" s="72">
        <f>VLOOKUP(UNINASSAU.[[#This Row],[CURSO]],'[1]POS_VIVO_0112 a 3101_CAMP. REG)'!$F$333:$L$447,7,FALSE)</f>
        <v>0.5</v>
      </c>
      <c r="CC90" s="73">
        <f>VLOOKUP(UNINASSAU.[[#This Row],[CURSO]],'[1]POS_VIVO_0112 a 3101_CAMP. REG)'!$F$333:$M$447,8,FALSE)</f>
        <v>131.15</v>
      </c>
      <c r="CD90" s="72">
        <f>VLOOKUP(UNINASSAU.[[#This Row],[CURSO]],'[1]POS_VIVO_0112 a 3101_CAMP. REG)'!$F$333:$P$447,11,FALSE)</f>
        <v>0.55000000000000004</v>
      </c>
      <c r="CE90" s="73">
        <f>VLOOKUP(UNINASSAU.[[#This Row],[CURSO]],'[1]POS_VIVO_0112 a 3101_CAMP. REG)'!$F$333:$Q$447,12,FALSE)</f>
        <v>118.03</v>
      </c>
      <c r="CM90" s="69"/>
      <c r="CN90" s="69"/>
      <c r="CP90" s="104">
        <v>87</v>
      </c>
      <c r="CQ90" s="121" t="s">
        <v>313</v>
      </c>
    </row>
    <row r="91" spans="14:95" ht="16.5" customHeight="1" x14ac:dyDescent="0.25">
      <c r="N91" s="121" t="s">
        <v>306</v>
      </c>
      <c r="O91" s="69" t="s">
        <v>19</v>
      </c>
      <c r="P91" s="69" t="str">
        <f>VLOOKUP(UNIFAEL.[[#This Row],[CURSO]],'[1]POS_VIVO_0112 a 3101_CAMP. REG)'!$F$5:$G$113,2,FALSE)</f>
        <v>Saúde</v>
      </c>
      <c r="Q91" s="68">
        <f>VLOOKUP(UNIFAEL.[[#This Row],[CURSO]],'[1]POS_VIVO_0112 a 3101_CAMP. REG)'!$F$5:$H$113,3,FALSE)</f>
        <v>12</v>
      </c>
      <c r="R91" s="68">
        <f>VLOOKUP(UNIFAEL.[[#This Row],[CURSO]],'[1]POS_VIVO_0112 a 3101_CAMP. REG)'!$F$5:$I$113,4,FALSE)</f>
        <v>19</v>
      </c>
      <c r="S91" s="73">
        <f>VLOOKUP(UNIFAEL.[[#This Row],[CURSO]],'[1]POS_VIVO_0112 a 3101_CAMP. REG)'!$F$5:$J$113,5,FALSE)</f>
        <v>291.43870800000002</v>
      </c>
      <c r="T91" s="124">
        <f>VLOOKUP(UNIFAEL.[[#This Row],[CURSO]],'[1]POS_VIVO_0112 a 3101_CAMP. REG)'!$F$5:$L$113,7,FALSE)</f>
        <v>0.4</v>
      </c>
      <c r="U91" s="71">
        <f>VLOOKUP(UNIFAEL.[[#This Row],[CURSO]],'[1]POS_VIVO_0112 a 3101_CAMP. REG)'!$F$5:$M$113,8,FALSE)</f>
        <v>157.38</v>
      </c>
      <c r="V91" s="72">
        <f>VLOOKUP(UNIFAEL.[[#This Row],[CURSO]],'[1]POS_VIVO_0112 a 3101_CAMP. REG)'!$F$5:$P$113,11,FALSE)</f>
        <v>0.45</v>
      </c>
      <c r="W91" s="73">
        <f>VLOOKUP(UNIFAEL.[[#This Row],[CURSO]],'[1]POS_VIVO_0112 a 3101_CAMP. REG)'!$F$5:$Q$113,12,FALSE)</f>
        <v>144.26</v>
      </c>
      <c r="X91" s="75">
        <f>UNIFAEL.[[#This Row],[Nº Parcelas]]</f>
        <v>19</v>
      </c>
      <c r="Y91" s="75">
        <f>UNIFAEL.[[#This Row],[Nº Parcelas normal2]]-1</f>
        <v>18</v>
      </c>
      <c r="Z91" s="73">
        <f>UNIFAEL.[[#This Row],[$ NORMAL]]</f>
        <v>291.43870800000002</v>
      </c>
      <c r="AA91" s="72">
        <f>UNIFAEL.[[#This Row],[%  SITE]]</f>
        <v>0.4</v>
      </c>
      <c r="AB91" s="73">
        <f>UNIFAEL.[[#This Row],[$ SITE]]</f>
        <v>157.38</v>
      </c>
      <c r="AC91" s="72">
        <f>UNIFAEL.[[#This Row],[%  SGP]]</f>
        <v>0.45</v>
      </c>
      <c r="AD91" s="73">
        <f>UNIFAEL.[[#This Row],[$ SGP]]</f>
        <v>144.26</v>
      </c>
      <c r="AE91" s="69" t="s">
        <v>371</v>
      </c>
      <c r="AF91" s="69" t="s">
        <v>372</v>
      </c>
      <c r="AH91" s="121" t="s">
        <v>306</v>
      </c>
      <c r="AI91" s="69" t="s">
        <v>19</v>
      </c>
      <c r="AJ91" s="69" t="str">
        <f>VLOOKUP(UNAMA.[[#This Row],[PARCELA MATRICULA NÃO PAGA]],'[1]POS_VIVO_0112 a 3101_CAMP. REG)'!$F$115:$G$222,2,FALSE)</f>
        <v>Saúde</v>
      </c>
      <c r="AK91" s="69">
        <f>VLOOKUP(UNAMA.[[#This Row],[PARCELA MATRICULA NÃO PAGA]],'[1]POS_VIVO_0112 a 3101_CAMP. REG)'!$F$115:$H$222,3,FALSE)</f>
        <v>12</v>
      </c>
      <c r="AL91" s="69">
        <f>VLOOKUP(UNAMA.[[#This Row],[PARCELA MATRICULA NÃO PAGA]],'[1]POS_VIVO_0112 a 3101_CAMP. REG)'!$F$115:$I$222,4,FALSE)</f>
        <v>19</v>
      </c>
      <c r="AM91" s="71">
        <f>VLOOKUP(UNAMA.[[#This Row],[PARCELA MATRICULA NÃO PAGA]],'[1]POS_VIVO_0112 a 3101_CAMP. REG)'!$F$115:$J$222,5,FALSE)</f>
        <v>320.59937400000007</v>
      </c>
      <c r="AN91" s="123">
        <f>VLOOKUP(UNAMA.[[#This Row],[PARCELA MATRICULA NÃO PAGA]],'[1]POS_VIVO_0112 a 3101_CAMP. REG)'!$F$115:$L$222,7,FALSE)</f>
        <v>0.4</v>
      </c>
      <c r="AO91" s="73">
        <f>VLOOKUP(UNAMA.[[#This Row],[PARCELA MATRICULA NÃO PAGA]],'[1]POS_VIVO_0112 a 3101_CAMP. REG)'!$F$115:$M$222,8,FALSE)</f>
        <v>173.12</v>
      </c>
      <c r="AP91" s="72">
        <f>VLOOKUP(UNAMA.[[#This Row],[PARCELA MATRICULA NÃO PAGA]],'[1]POS_VIVO_0112 a 3101_CAMP. REG)'!$F$115:$P$222,11,FALSE)</f>
        <v>0.45</v>
      </c>
      <c r="AQ91" s="73">
        <f>VLOOKUP(UNAMA.[[#This Row],[PARCELA MATRICULA NÃO PAGA]],'[1]POS_VIVO_0112 a 3101_CAMP. REG)'!$F$115:$Q$222,12,FALSE)</f>
        <v>158.69999999999999</v>
      </c>
      <c r="AR91" s="68">
        <f>UNAMA.[[#This Row],[Nº Parcelas]]</f>
        <v>19</v>
      </c>
      <c r="AS91" s="68">
        <f>UNAMA.[[#This Row],[Nº Parcelas normal2]]-1</f>
        <v>18</v>
      </c>
      <c r="AT91" s="71">
        <f>UNAMA.[[#This Row],[$ NORMAL]]</f>
        <v>320.59937400000007</v>
      </c>
      <c r="AU91" s="162">
        <f>UNAMA.[[#This Row],[%  SITE]]</f>
        <v>0.4</v>
      </c>
      <c r="AV91" s="161">
        <f>UNAMA.[[#This Row],[$ SITE]]</f>
        <v>173.12</v>
      </c>
      <c r="AW91" s="162">
        <f>UNAMA.[[#This Row],[%  SGP]]</f>
        <v>0.45</v>
      </c>
      <c r="AX91" s="161">
        <f>UNAMA.[[#This Row],[$ SGP]]</f>
        <v>158.69999999999999</v>
      </c>
      <c r="AY91" s="69" t="s">
        <v>351</v>
      </c>
      <c r="AZ91" s="69" t="s">
        <v>372</v>
      </c>
      <c r="BB91" s="121" t="s">
        <v>306</v>
      </c>
      <c r="BC91" s="69" t="s">
        <v>19</v>
      </c>
      <c r="BD91" s="68" t="str">
        <f>VLOOKUP(UNG.[[#This Row],[CURSO]],'[1]POS_VIVO_0112 a 3101_CAMP. REG)'!$F$224:$G$331,2,FALSE)</f>
        <v>Saúde</v>
      </c>
      <c r="BE91" s="70">
        <f>VLOOKUP(UNG.[[#This Row],[CURSO]],'[1]POS_VIVO_0112 a 3101_CAMP. REG)'!$F$224:$H$331,3,FALSE)</f>
        <v>12</v>
      </c>
      <c r="BF91" s="70">
        <f>VLOOKUP(UNG.[[#This Row],[CURSO]],'[1]POS_VIVO_0112 a 3101_CAMP. REG)'!$F$224:$I$331,4,FALSE)</f>
        <v>19</v>
      </c>
      <c r="BG91" s="73">
        <f>VLOOKUP(UNG.[[#This Row],[CURSO]],'[1]POS_VIVO_0112 a 3101_CAMP. REG)'!$F$224:$J$331,5,FALSE)</f>
        <v>291.43870800000002</v>
      </c>
      <c r="BH91" s="72">
        <f>VLOOKUP(UNG.[[#This Row],[CURSO]],'[1]POS_VIVO_0112 a 3101_CAMP. REG)'!$F$224:$L$331,7,FALSE)</f>
        <v>0.4</v>
      </c>
      <c r="BI91" s="73">
        <f>VLOOKUP(UNG.[[#This Row],[CURSO]],'[1]POS_VIVO_0112 a 3101_CAMP. REG)'!$F$224:$M$331,8,FALSE)</f>
        <v>157.38</v>
      </c>
      <c r="BJ91" s="72">
        <f>VLOOKUP(UNG.[[#This Row],[CURSO]],'[1]POS_VIVO_0112 a 3101_CAMP. REG)'!$F$224:$P$331,11,FALSE)</f>
        <v>0.45</v>
      </c>
      <c r="BK91" s="73">
        <f>VLOOKUP(UNG.[[#This Row],[CURSO]],'[1]POS_VIVO_0112 a 3101_CAMP. REG)'!$F$224:$Q$331,12,FALSE)</f>
        <v>144.26</v>
      </c>
      <c r="BL91" s="75">
        <f>UNG.[[#This Row],[Nº Parcelas]]</f>
        <v>19</v>
      </c>
      <c r="BM91" s="75">
        <f>UNG.[[#This Row],[Nº Parcelas normal2]]-1</f>
        <v>18</v>
      </c>
      <c r="BN91" s="73">
        <f>UNG.[[#This Row],[$ NORMAL]]</f>
        <v>291.43870800000002</v>
      </c>
      <c r="BO91" s="72">
        <f>UNG.[[#This Row],[%  SITE]]</f>
        <v>0.4</v>
      </c>
      <c r="BP91" s="73">
        <f>UNG.[[#This Row],[$ SITE]]</f>
        <v>157.38</v>
      </c>
      <c r="BQ91" s="72">
        <f>UNG.[[#This Row],[%  SGP]]</f>
        <v>0.45</v>
      </c>
      <c r="BR91" s="73">
        <f>UNG.[[#This Row],[$ SGP]]</f>
        <v>144.26</v>
      </c>
      <c r="BS91" s="69" t="s">
        <v>351</v>
      </c>
      <c r="BT91" s="69" t="s">
        <v>372</v>
      </c>
      <c r="BV91" s="121" t="s">
        <v>306</v>
      </c>
      <c r="BW91" s="69" t="s">
        <v>19</v>
      </c>
      <c r="BX91" s="69" t="str">
        <f>VLOOKUP(UNINASSAU.[[#This Row],[CURSO]],'[1]POS_VIVO_0112 a 3101_CAMP. REG)'!$F$333:$G$447,2,FALSE)</f>
        <v>Saúde</v>
      </c>
      <c r="BY91" s="68">
        <f>VLOOKUP(UNINASSAU.[[#This Row],[CURSO]],'[1]POS_VIVO_0112 a 3101_CAMP. REG)'!$F$333:$H$447,3,FALSE)</f>
        <v>12</v>
      </c>
      <c r="BZ91" s="68">
        <f>VLOOKUP(UNINASSAU.[[#This Row],[CURSO]],'[1]POS_VIVO_0112 a 3101_CAMP. REG)'!$F$333:$I$447,4,FALSE)</f>
        <v>19</v>
      </c>
      <c r="CA91" s="73">
        <f>VLOOKUP(UNINASSAU.[[#This Row],[CURSO]],'[1]POS_VIVO_0112 a 3101_CAMP. REG)'!$F$333:$J$447,5,FALSE)</f>
        <v>291.43870800000002</v>
      </c>
      <c r="CB91" s="72">
        <f>VLOOKUP(UNINASSAU.[[#This Row],[CURSO]],'[1]POS_VIVO_0112 a 3101_CAMP. REG)'!$F$333:$L$447,7,FALSE)</f>
        <v>0.4</v>
      </c>
      <c r="CC91" s="73">
        <f>VLOOKUP(UNINASSAU.[[#This Row],[CURSO]],'[1]POS_VIVO_0112 a 3101_CAMP. REG)'!$F$333:$M$447,8,FALSE)</f>
        <v>157.38</v>
      </c>
      <c r="CD91" s="72">
        <f>VLOOKUP(UNINASSAU.[[#This Row],[CURSO]],'[1]POS_VIVO_0112 a 3101_CAMP. REG)'!$F$333:$P$447,11,FALSE)</f>
        <v>0.45</v>
      </c>
      <c r="CE91" s="73">
        <f>VLOOKUP(UNINASSAU.[[#This Row],[CURSO]],'[1]POS_VIVO_0112 a 3101_CAMP. REG)'!$F$333:$Q$447,12,FALSE)</f>
        <v>144.26</v>
      </c>
      <c r="CM91" s="69"/>
      <c r="CN91" s="69"/>
      <c r="CP91" s="104">
        <v>88</v>
      </c>
      <c r="CQ91" s="121" t="s">
        <v>335</v>
      </c>
    </row>
    <row r="92" spans="14:95" ht="16.5" customHeight="1" x14ac:dyDescent="0.25">
      <c r="N92" s="121" t="s">
        <v>264</v>
      </c>
      <c r="O92" s="69" t="s">
        <v>19</v>
      </c>
      <c r="P92" s="69" t="str">
        <f>VLOOKUP(UNIFAEL.[[#This Row],[CURSO]],'[1]POS_VIVO_0112 a 3101_CAMP. REG)'!$F$5:$G$113,2,FALSE)</f>
        <v>Gestão</v>
      </c>
      <c r="Q92" s="68">
        <f>VLOOKUP(UNIFAEL.[[#This Row],[CURSO]],'[1]POS_VIVO_0112 a 3101_CAMP. REG)'!$F$5:$H$113,3,FALSE)</f>
        <v>12</v>
      </c>
      <c r="R92" s="68">
        <f>VLOOKUP(UNIFAEL.[[#This Row],[CURSO]],'[1]POS_VIVO_0112 a 3101_CAMP. REG)'!$F$5:$I$113,4,FALSE)</f>
        <v>19</v>
      </c>
      <c r="S92" s="73">
        <f>VLOOKUP(UNIFAEL.[[#This Row],[CURSO]],'[1]POS_VIVO_0112 a 3101_CAMP. REG)'!$F$5:$J$113,5,FALSE)</f>
        <v>320.59937400000007</v>
      </c>
      <c r="T92" s="124">
        <f>VLOOKUP(UNIFAEL.[[#This Row],[CURSO]],'[1]POS_VIVO_0112 a 3101_CAMP. REG)'!$F$5:$L$113,7,FALSE)</f>
        <v>0.3</v>
      </c>
      <c r="U92" s="71">
        <f>VLOOKUP(UNIFAEL.[[#This Row],[CURSO]],'[1]POS_VIVO_0112 a 3101_CAMP. REG)'!$F$5:$M$113,8,FALSE)</f>
        <v>201.98</v>
      </c>
      <c r="V92" s="72">
        <f>VLOOKUP(UNIFAEL.[[#This Row],[CURSO]],'[1]POS_VIVO_0112 a 3101_CAMP. REG)'!$F$5:$P$113,11,FALSE)</f>
        <v>0.35</v>
      </c>
      <c r="W92" s="73">
        <f>VLOOKUP(UNIFAEL.[[#This Row],[CURSO]],'[1]POS_VIVO_0112 a 3101_CAMP. REG)'!$F$5:$Q$113,12,FALSE)</f>
        <v>187.55</v>
      </c>
      <c r="X92" s="75">
        <f>UNIFAEL.[[#This Row],[Nº Parcelas]]</f>
        <v>19</v>
      </c>
      <c r="Y92" s="75">
        <f>UNIFAEL.[[#This Row],[Nº Parcelas normal2]]-1</f>
        <v>18</v>
      </c>
      <c r="Z92" s="73">
        <f>UNIFAEL.[[#This Row],[$ NORMAL]]</f>
        <v>320.59937400000007</v>
      </c>
      <c r="AA92" s="72">
        <f>UNIFAEL.[[#This Row],[%  SITE]]</f>
        <v>0.3</v>
      </c>
      <c r="AB92" s="73">
        <f>UNIFAEL.[[#This Row],[$ SITE]]</f>
        <v>201.98</v>
      </c>
      <c r="AC92" s="72">
        <f>UNIFAEL.[[#This Row],[%  SGP]]</f>
        <v>0.35</v>
      </c>
      <c r="AD92" s="73">
        <f>UNIFAEL.[[#This Row],[$ SGP]]</f>
        <v>187.55</v>
      </c>
      <c r="AE92" s="69" t="s">
        <v>371</v>
      </c>
      <c r="AF92" s="69" t="s">
        <v>372</v>
      </c>
      <c r="AH92" s="121" t="s">
        <v>264</v>
      </c>
      <c r="AI92" s="69" t="s">
        <v>19</v>
      </c>
      <c r="AJ92" s="69" t="str">
        <f>VLOOKUP(UNAMA.[[#This Row],[PARCELA MATRICULA NÃO PAGA]],'[1]POS_VIVO_0112 a 3101_CAMP. REG)'!$F$115:$G$222,2,FALSE)</f>
        <v>Gestão</v>
      </c>
      <c r="AK92" s="69">
        <f>VLOOKUP(UNAMA.[[#This Row],[PARCELA MATRICULA NÃO PAGA]],'[1]POS_VIVO_0112 a 3101_CAMP. REG)'!$F$115:$H$222,3,FALSE)</f>
        <v>12</v>
      </c>
      <c r="AL92" s="69">
        <f>VLOOKUP(UNAMA.[[#This Row],[PARCELA MATRICULA NÃO PAGA]],'[1]POS_VIVO_0112 a 3101_CAMP. REG)'!$F$115:$I$222,4,FALSE)</f>
        <v>19</v>
      </c>
      <c r="AM92" s="71">
        <f>VLOOKUP(UNAMA.[[#This Row],[PARCELA MATRICULA NÃO PAGA]],'[1]POS_VIVO_0112 a 3101_CAMP. REG)'!$F$115:$J$222,5,FALSE)</f>
        <v>352.66770900000006</v>
      </c>
      <c r="AN92" s="123">
        <f>VLOOKUP(UNAMA.[[#This Row],[PARCELA MATRICULA NÃO PAGA]],'[1]POS_VIVO_0112 a 3101_CAMP. REG)'!$F$115:$L$222,7,FALSE)</f>
        <v>0.3</v>
      </c>
      <c r="AO92" s="73">
        <f>VLOOKUP(UNAMA.[[#This Row],[PARCELA MATRICULA NÃO PAGA]],'[1]POS_VIVO_0112 a 3101_CAMP. REG)'!$F$115:$M$222,8,FALSE)</f>
        <v>222.18</v>
      </c>
      <c r="AP92" s="72">
        <f>VLOOKUP(UNAMA.[[#This Row],[PARCELA MATRICULA NÃO PAGA]],'[1]POS_VIVO_0112 a 3101_CAMP. REG)'!$F$115:$P$222,11,FALSE)</f>
        <v>0.35</v>
      </c>
      <c r="AQ92" s="73">
        <f>VLOOKUP(UNAMA.[[#This Row],[PARCELA MATRICULA NÃO PAGA]],'[1]POS_VIVO_0112 a 3101_CAMP. REG)'!$F$115:$Q$222,12,FALSE)</f>
        <v>206.31</v>
      </c>
      <c r="AR92" s="68">
        <f>UNAMA.[[#This Row],[Nº Parcelas]]</f>
        <v>19</v>
      </c>
      <c r="AS92" s="68">
        <f>UNAMA.[[#This Row],[Nº Parcelas normal2]]-1</f>
        <v>18</v>
      </c>
      <c r="AT92" s="71">
        <f>UNAMA.[[#This Row],[$ NORMAL]]</f>
        <v>352.66770900000006</v>
      </c>
      <c r="AU92" s="162">
        <f>UNAMA.[[#This Row],[%  SITE]]</f>
        <v>0.3</v>
      </c>
      <c r="AV92" s="161">
        <f>UNAMA.[[#This Row],[$ SITE]]</f>
        <v>222.18</v>
      </c>
      <c r="AW92" s="162">
        <f>UNAMA.[[#This Row],[%  SGP]]</f>
        <v>0.35</v>
      </c>
      <c r="AX92" s="161">
        <f>UNAMA.[[#This Row],[$ SGP]]</f>
        <v>206.31</v>
      </c>
      <c r="AY92" s="69" t="s">
        <v>351</v>
      </c>
      <c r="AZ92" s="69" t="s">
        <v>372</v>
      </c>
      <c r="BB92" s="121" t="s">
        <v>264</v>
      </c>
      <c r="BC92" s="69" t="s">
        <v>19</v>
      </c>
      <c r="BD92" s="68" t="str">
        <f>VLOOKUP(UNG.[[#This Row],[CURSO]],'[1]POS_VIVO_0112 a 3101_CAMP. REG)'!$F$224:$G$331,2,FALSE)</f>
        <v>Gestão</v>
      </c>
      <c r="BE92" s="70">
        <f>VLOOKUP(UNG.[[#This Row],[CURSO]],'[1]POS_VIVO_0112 a 3101_CAMP. REG)'!$F$224:$H$331,3,FALSE)</f>
        <v>12</v>
      </c>
      <c r="BF92" s="70">
        <f>VLOOKUP(UNG.[[#This Row],[CURSO]],'[1]POS_VIVO_0112 a 3101_CAMP. REG)'!$F$224:$I$331,4,FALSE)</f>
        <v>19</v>
      </c>
      <c r="BG92" s="73">
        <f>VLOOKUP(UNG.[[#This Row],[CURSO]],'[1]POS_VIVO_0112 a 3101_CAMP. REG)'!$F$224:$J$331,5,FALSE)</f>
        <v>320.59937400000007</v>
      </c>
      <c r="BH92" s="72">
        <f>VLOOKUP(UNG.[[#This Row],[CURSO]],'[1]POS_VIVO_0112 a 3101_CAMP. REG)'!$F$224:$L$331,7,FALSE)</f>
        <v>0.3</v>
      </c>
      <c r="BI92" s="73">
        <f>VLOOKUP(UNG.[[#This Row],[CURSO]],'[1]POS_VIVO_0112 a 3101_CAMP. REG)'!$F$224:$M$331,8,FALSE)</f>
        <v>201.98</v>
      </c>
      <c r="BJ92" s="72">
        <f>VLOOKUP(UNG.[[#This Row],[CURSO]],'[1]POS_VIVO_0112 a 3101_CAMP. REG)'!$F$224:$P$331,11,FALSE)</f>
        <v>0.35</v>
      </c>
      <c r="BK92" s="73">
        <f>VLOOKUP(UNG.[[#This Row],[CURSO]],'[1]POS_VIVO_0112 a 3101_CAMP. REG)'!$F$224:$Q$331,12,FALSE)</f>
        <v>187.55</v>
      </c>
      <c r="BL92" s="75">
        <f>UNG.[[#This Row],[Nº Parcelas]]</f>
        <v>19</v>
      </c>
      <c r="BM92" s="75">
        <f>UNG.[[#This Row],[Nº Parcelas normal2]]-1</f>
        <v>18</v>
      </c>
      <c r="BN92" s="73">
        <f>UNG.[[#This Row],[$ NORMAL]]</f>
        <v>320.59937400000007</v>
      </c>
      <c r="BO92" s="72">
        <f>UNG.[[#This Row],[%  SITE]]</f>
        <v>0.3</v>
      </c>
      <c r="BP92" s="73">
        <f>UNG.[[#This Row],[$ SITE]]</f>
        <v>201.98</v>
      </c>
      <c r="BQ92" s="72">
        <f>UNG.[[#This Row],[%  SGP]]</f>
        <v>0.35</v>
      </c>
      <c r="BR92" s="73">
        <f>UNG.[[#This Row],[$ SGP]]</f>
        <v>187.55</v>
      </c>
      <c r="BS92" s="69" t="s">
        <v>351</v>
      </c>
      <c r="BT92" s="69" t="s">
        <v>372</v>
      </c>
      <c r="BV92" s="121" t="s">
        <v>264</v>
      </c>
      <c r="BW92" s="69" t="s">
        <v>19</v>
      </c>
      <c r="BX92" s="69" t="str">
        <f>VLOOKUP(UNINASSAU.[[#This Row],[CURSO]],'[1]POS_VIVO_0112 a 3101_CAMP. REG)'!$F$333:$G$447,2,FALSE)</f>
        <v>Gestão</v>
      </c>
      <c r="BY92" s="68">
        <f>VLOOKUP(UNINASSAU.[[#This Row],[CURSO]],'[1]POS_VIVO_0112 a 3101_CAMP. REG)'!$F$333:$H$447,3,FALSE)</f>
        <v>12</v>
      </c>
      <c r="BZ92" s="68">
        <f>VLOOKUP(UNINASSAU.[[#This Row],[CURSO]],'[1]POS_VIVO_0112 a 3101_CAMP. REG)'!$F$333:$I$447,4,FALSE)</f>
        <v>19</v>
      </c>
      <c r="CA92" s="73">
        <f>VLOOKUP(UNINASSAU.[[#This Row],[CURSO]],'[1]POS_VIVO_0112 a 3101_CAMP. REG)'!$F$333:$J$447,5,FALSE)</f>
        <v>320.59937400000007</v>
      </c>
      <c r="CB92" s="72">
        <f>VLOOKUP(UNINASSAU.[[#This Row],[CURSO]],'[1]POS_VIVO_0112 a 3101_CAMP. REG)'!$F$333:$L$447,7,FALSE)</f>
        <v>0.3</v>
      </c>
      <c r="CC92" s="73">
        <f>VLOOKUP(UNINASSAU.[[#This Row],[CURSO]],'[1]POS_VIVO_0112 a 3101_CAMP. REG)'!$F$333:$M$447,8,FALSE)</f>
        <v>201.98</v>
      </c>
      <c r="CD92" s="72">
        <f>VLOOKUP(UNINASSAU.[[#This Row],[CURSO]],'[1]POS_VIVO_0112 a 3101_CAMP. REG)'!$F$333:$P$447,11,FALSE)</f>
        <v>0.35</v>
      </c>
      <c r="CE92" s="73">
        <f>VLOOKUP(UNINASSAU.[[#This Row],[CURSO]],'[1]POS_VIVO_0112 a 3101_CAMP. REG)'!$F$333:$Q$447,12,FALSE)</f>
        <v>187.55</v>
      </c>
      <c r="CM92" s="69"/>
      <c r="CN92" s="69"/>
      <c r="CP92" s="104">
        <v>89</v>
      </c>
      <c r="CQ92" s="121" t="s">
        <v>324</v>
      </c>
    </row>
    <row r="93" spans="14:95" ht="16.5" customHeight="1" x14ac:dyDescent="0.25">
      <c r="N93" s="121" t="s">
        <v>336</v>
      </c>
      <c r="O93" s="69" t="s">
        <v>19</v>
      </c>
      <c r="P93" s="69" t="str">
        <f>VLOOKUP(UNIFAEL.[[#This Row],[CURSO]],'[1]POS_VIVO_0112 a 3101_CAMP. REG)'!$F$5:$G$113,2,FALSE)</f>
        <v>Tecnologia/Engenharia</v>
      </c>
      <c r="Q93" s="68">
        <f>VLOOKUP(UNIFAEL.[[#This Row],[CURSO]],'[1]POS_VIVO_0112 a 3101_CAMP. REG)'!$F$5:$H$113,3,FALSE)</f>
        <v>12</v>
      </c>
      <c r="R93" s="68">
        <f>VLOOKUP(UNIFAEL.[[#This Row],[CURSO]],'[1]POS_VIVO_0112 a 3101_CAMP. REG)'!$F$5:$I$113,4,FALSE)</f>
        <v>19</v>
      </c>
      <c r="S93" s="73">
        <f>VLOOKUP(UNIFAEL.[[#This Row],[CURSO]],'[1]POS_VIVO_0112 a 3101_CAMP. REG)'!$F$5:$J$113,5,FALSE)</f>
        <v>291.43870800000002</v>
      </c>
      <c r="T93" s="124">
        <f>VLOOKUP(UNIFAEL.[[#This Row],[CURSO]],'[1]POS_VIVO_0112 a 3101_CAMP. REG)'!$F$5:$L$113,7,FALSE)</f>
        <v>0.4</v>
      </c>
      <c r="U93" s="71">
        <f>VLOOKUP(UNIFAEL.[[#This Row],[CURSO]],'[1]POS_VIVO_0112 a 3101_CAMP. REG)'!$F$5:$M$113,8,FALSE)</f>
        <v>157.38</v>
      </c>
      <c r="V93" s="72">
        <f>VLOOKUP(UNIFAEL.[[#This Row],[CURSO]],'[1]POS_VIVO_0112 a 3101_CAMP. REG)'!$F$5:$P$113,11,FALSE)</f>
        <v>0.45</v>
      </c>
      <c r="W93" s="73">
        <f>VLOOKUP(UNIFAEL.[[#This Row],[CURSO]],'[1]POS_VIVO_0112 a 3101_CAMP. REG)'!$F$5:$Q$113,12,FALSE)</f>
        <v>144.26</v>
      </c>
      <c r="X93" s="75">
        <f>UNIFAEL.[[#This Row],[Nº Parcelas]]</f>
        <v>19</v>
      </c>
      <c r="Y93" s="75">
        <f>UNIFAEL.[[#This Row],[Nº Parcelas normal2]]-1</f>
        <v>18</v>
      </c>
      <c r="Z93" s="73">
        <f>UNIFAEL.[[#This Row],[$ NORMAL]]</f>
        <v>291.43870800000002</v>
      </c>
      <c r="AA93" s="72">
        <f>UNIFAEL.[[#This Row],[%  SITE]]</f>
        <v>0.4</v>
      </c>
      <c r="AB93" s="73">
        <f>UNIFAEL.[[#This Row],[$ SITE]]</f>
        <v>157.38</v>
      </c>
      <c r="AC93" s="72">
        <f>UNIFAEL.[[#This Row],[%  SGP]]</f>
        <v>0.45</v>
      </c>
      <c r="AD93" s="73">
        <f>UNIFAEL.[[#This Row],[$ SGP]]</f>
        <v>144.26</v>
      </c>
      <c r="AE93" s="69" t="s">
        <v>371</v>
      </c>
      <c r="AF93" s="69" t="s">
        <v>372</v>
      </c>
      <c r="AH93" s="121" t="s">
        <v>336</v>
      </c>
      <c r="AI93" s="69" t="s">
        <v>19</v>
      </c>
      <c r="AJ93" s="69" t="str">
        <f>VLOOKUP(UNAMA.[[#This Row],[PARCELA MATRICULA NÃO PAGA]],'[1]POS_VIVO_0112 a 3101_CAMP. REG)'!$F$115:$G$222,2,FALSE)</f>
        <v>Tecnologia/Engenharia</v>
      </c>
      <c r="AK93" s="69">
        <f>VLOOKUP(UNAMA.[[#This Row],[PARCELA MATRICULA NÃO PAGA]],'[1]POS_VIVO_0112 a 3101_CAMP. REG)'!$F$115:$H$222,3,FALSE)</f>
        <v>12</v>
      </c>
      <c r="AL93" s="69">
        <f>VLOOKUP(UNAMA.[[#This Row],[PARCELA MATRICULA NÃO PAGA]],'[1]POS_VIVO_0112 a 3101_CAMP. REG)'!$F$115:$I$222,4,FALSE)</f>
        <v>19</v>
      </c>
      <c r="AM93" s="71">
        <f>VLOOKUP(UNAMA.[[#This Row],[PARCELA MATRICULA NÃO PAGA]],'[1]POS_VIVO_0112 a 3101_CAMP. REG)'!$F$115:$J$222,5,FALSE)</f>
        <v>320.59937400000007</v>
      </c>
      <c r="AN93" s="123">
        <f>VLOOKUP(UNAMA.[[#This Row],[PARCELA MATRICULA NÃO PAGA]],'[1]POS_VIVO_0112 a 3101_CAMP. REG)'!$F$115:$L$222,7,FALSE)</f>
        <v>0.4</v>
      </c>
      <c r="AO93" s="73">
        <f>VLOOKUP(UNAMA.[[#This Row],[PARCELA MATRICULA NÃO PAGA]],'[1]POS_VIVO_0112 a 3101_CAMP. REG)'!$F$115:$M$222,8,FALSE)</f>
        <v>173.12</v>
      </c>
      <c r="AP93" s="72">
        <f>VLOOKUP(UNAMA.[[#This Row],[PARCELA MATRICULA NÃO PAGA]],'[1]POS_VIVO_0112 a 3101_CAMP. REG)'!$F$115:$P$222,11,FALSE)</f>
        <v>0.45</v>
      </c>
      <c r="AQ93" s="73">
        <f>VLOOKUP(UNAMA.[[#This Row],[PARCELA MATRICULA NÃO PAGA]],'[1]POS_VIVO_0112 a 3101_CAMP. REG)'!$F$115:$Q$222,12,FALSE)</f>
        <v>158.69999999999999</v>
      </c>
      <c r="AR93" s="68">
        <f>UNAMA.[[#This Row],[Nº Parcelas]]</f>
        <v>19</v>
      </c>
      <c r="AS93" s="68">
        <f>UNAMA.[[#This Row],[Nº Parcelas normal2]]-1</f>
        <v>18</v>
      </c>
      <c r="AT93" s="71">
        <f>UNAMA.[[#This Row],[$ NORMAL]]</f>
        <v>320.59937400000007</v>
      </c>
      <c r="AU93" s="162">
        <f>UNAMA.[[#This Row],[%  SITE]]</f>
        <v>0.4</v>
      </c>
      <c r="AV93" s="161">
        <f>UNAMA.[[#This Row],[$ SITE]]</f>
        <v>173.12</v>
      </c>
      <c r="AW93" s="162">
        <f>UNAMA.[[#This Row],[%  SGP]]</f>
        <v>0.45</v>
      </c>
      <c r="AX93" s="161">
        <f>UNAMA.[[#This Row],[$ SGP]]</f>
        <v>158.69999999999999</v>
      </c>
      <c r="AY93" s="69" t="s">
        <v>351</v>
      </c>
      <c r="AZ93" s="69" t="s">
        <v>372</v>
      </c>
      <c r="BB93" s="121" t="s">
        <v>336</v>
      </c>
      <c r="BC93" s="69" t="s">
        <v>19</v>
      </c>
      <c r="BD93" s="68" t="str">
        <f>VLOOKUP(UNG.[[#This Row],[CURSO]],'[1]POS_VIVO_0112 a 3101_CAMP. REG)'!$F$224:$G$331,2,FALSE)</f>
        <v>Tecnologia/Engenharia</v>
      </c>
      <c r="BE93" s="70">
        <f>VLOOKUP(UNG.[[#This Row],[CURSO]],'[1]POS_VIVO_0112 a 3101_CAMP. REG)'!$F$224:$H$331,3,FALSE)</f>
        <v>12</v>
      </c>
      <c r="BF93" s="70">
        <f>VLOOKUP(UNG.[[#This Row],[CURSO]],'[1]POS_VIVO_0112 a 3101_CAMP. REG)'!$F$224:$I$331,4,FALSE)</f>
        <v>19</v>
      </c>
      <c r="BG93" s="73">
        <f>VLOOKUP(UNG.[[#This Row],[CURSO]],'[1]POS_VIVO_0112 a 3101_CAMP. REG)'!$F$224:$J$331,5,FALSE)</f>
        <v>291.43870800000002</v>
      </c>
      <c r="BH93" s="72">
        <f>VLOOKUP(UNG.[[#This Row],[CURSO]],'[1]POS_VIVO_0112 a 3101_CAMP. REG)'!$F$224:$L$331,7,FALSE)</f>
        <v>0.4</v>
      </c>
      <c r="BI93" s="73">
        <f>VLOOKUP(UNG.[[#This Row],[CURSO]],'[1]POS_VIVO_0112 a 3101_CAMP. REG)'!$F$224:$M$331,8,FALSE)</f>
        <v>157.38</v>
      </c>
      <c r="BJ93" s="72">
        <f>VLOOKUP(UNG.[[#This Row],[CURSO]],'[1]POS_VIVO_0112 a 3101_CAMP. REG)'!$F$224:$P$331,11,FALSE)</f>
        <v>0.45</v>
      </c>
      <c r="BK93" s="73">
        <f>VLOOKUP(UNG.[[#This Row],[CURSO]],'[1]POS_VIVO_0112 a 3101_CAMP. REG)'!$F$224:$Q$331,12,FALSE)</f>
        <v>144.26</v>
      </c>
      <c r="BL93" s="75">
        <f>UNG.[[#This Row],[Nº Parcelas]]</f>
        <v>19</v>
      </c>
      <c r="BM93" s="75">
        <f>UNG.[[#This Row],[Nº Parcelas normal2]]-1</f>
        <v>18</v>
      </c>
      <c r="BN93" s="73">
        <f>UNG.[[#This Row],[$ NORMAL]]</f>
        <v>291.43870800000002</v>
      </c>
      <c r="BO93" s="72">
        <f>UNG.[[#This Row],[%  SITE]]</f>
        <v>0.4</v>
      </c>
      <c r="BP93" s="73">
        <f>UNG.[[#This Row],[$ SITE]]</f>
        <v>157.38</v>
      </c>
      <c r="BQ93" s="72">
        <f>UNG.[[#This Row],[%  SGP]]</f>
        <v>0.45</v>
      </c>
      <c r="BR93" s="73">
        <f>UNG.[[#This Row],[$ SGP]]</f>
        <v>144.26</v>
      </c>
      <c r="BS93" s="69" t="s">
        <v>351</v>
      </c>
      <c r="BT93" s="69" t="s">
        <v>372</v>
      </c>
      <c r="BV93" s="121" t="s">
        <v>336</v>
      </c>
      <c r="BW93" s="69" t="s">
        <v>19</v>
      </c>
      <c r="BX93" s="69" t="str">
        <f>VLOOKUP(UNINASSAU.[[#This Row],[CURSO]],'[1]POS_VIVO_0112 a 3101_CAMP. REG)'!$F$333:$G$447,2,FALSE)</f>
        <v>Tecnologia/Engenharia</v>
      </c>
      <c r="BY93" s="68">
        <f>VLOOKUP(UNINASSAU.[[#This Row],[CURSO]],'[1]POS_VIVO_0112 a 3101_CAMP. REG)'!$F$333:$H$447,3,FALSE)</f>
        <v>12</v>
      </c>
      <c r="BZ93" s="68">
        <f>VLOOKUP(UNINASSAU.[[#This Row],[CURSO]],'[1]POS_VIVO_0112 a 3101_CAMP. REG)'!$F$333:$I$447,4,FALSE)</f>
        <v>19</v>
      </c>
      <c r="CA93" s="73">
        <f>VLOOKUP(UNINASSAU.[[#This Row],[CURSO]],'[1]POS_VIVO_0112 a 3101_CAMP. REG)'!$F$333:$J$447,5,FALSE)</f>
        <v>291.43870800000002</v>
      </c>
      <c r="CB93" s="72">
        <f>VLOOKUP(UNINASSAU.[[#This Row],[CURSO]],'[1]POS_VIVO_0112 a 3101_CAMP. REG)'!$F$333:$L$447,7,FALSE)</f>
        <v>0.4</v>
      </c>
      <c r="CC93" s="73">
        <f>VLOOKUP(UNINASSAU.[[#This Row],[CURSO]],'[1]POS_VIVO_0112 a 3101_CAMP. REG)'!$F$333:$M$447,8,FALSE)</f>
        <v>157.38</v>
      </c>
      <c r="CD93" s="72">
        <f>VLOOKUP(UNINASSAU.[[#This Row],[CURSO]],'[1]POS_VIVO_0112 a 3101_CAMP. REG)'!$F$333:$P$447,11,FALSE)</f>
        <v>0.45</v>
      </c>
      <c r="CE93" s="73">
        <f>VLOOKUP(UNINASSAU.[[#This Row],[CURSO]],'[1]POS_VIVO_0112 a 3101_CAMP. REG)'!$F$333:$Q$447,12,FALSE)</f>
        <v>144.26</v>
      </c>
      <c r="CM93" s="69"/>
      <c r="CN93" s="69"/>
      <c r="CP93" s="104">
        <v>90</v>
      </c>
      <c r="CQ93" s="121" t="s">
        <v>334</v>
      </c>
    </row>
    <row r="94" spans="14:95" ht="16.5" customHeight="1" x14ac:dyDescent="0.25">
      <c r="N94" s="121" t="s">
        <v>155</v>
      </c>
      <c r="O94" s="69" t="s">
        <v>19</v>
      </c>
      <c r="P94" s="69" t="str">
        <f>VLOOKUP(UNIFAEL.[[#This Row],[CURSO]],'[1]POS_VIVO_0112 a 3101_CAMP. REG)'!$F$5:$G$113,2,FALSE)</f>
        <v>Saúde</v>
      </c>
      <c r="Q94" s="68">
        <f>VLOOKUP(UNIFAEL.[[#This Row],[CURSO]],'[1]POS_VIVO_0112 a 3101_CAMP. REG)'!$F$5:$H$113,3,FALSE)</f>
        <v>12</v>
      </c>
      <c r="R94" s="68">
        <f>VLOOKUP(UNIFAEL.[[#This Row],[CURSO]],'[1]POS_VIVO_0112 a 3101_CAMP. REG)'!$F$5:$I$113,4,FALSE)</f>
        <v>19</v>
      </c>
      <c r="S94" s="73">
        <f>VLOOKUP(UNIFAEL.[[#This Row],[CURSO]],'[1]POS_VIVO_0112 a 3101_CAMP. REG)'!$F$5:$J$113,5,FALSE)</f>
        <v>291.43870800000002</v>
      </c>
      <c r="T94" s="124">
        <f>VLOOKUP(UNIFAEL.[[#This Row],[CURSO]],'[1]POS_VIVO_0112 a 3101_CAMP. REG)'!$F$5:$L$113,7,FALSE)</f>
        <v>0.5</v>
      </c>
      <c r="U94" s="71">
        <f>VLOOKUP(UNIFAEL.[[#This Row],[CURSO]],'[1]POS_VIVO_0112 a 3101_CAMP. REG)'!$F$5:$M$113,8,FALSE)</f>
        <v>131.15</v>
      </c>
      <c r="V94" s="72">
        <f>VLOOKUP(UNIFAEL.[[#This Row],[CURSO]],'[1]POS_VIVO_0112 a 3101_CAMP. REG)'!$F$5:$P$113,11,FALSE)</f>
        <v>0.55000000000000004</v>
      </c>
      <c r="W94" s="73">
        <f>VLOOKUP(UNIFAEL.[[#This Row],[CURSO]],'[1]POS_VIVO_0112 a 3101_CAMP. REG)'!$F$5:$Q$113,12,FALSE)</f>
        <v>118.03</v>
      </c>
      <c r="X94" s="75">
        <f>UNIFAEL.[[#This Row],[Nº Parcelas]]</f>
        <v>19</v>
      </c>
      <c r="Y94" s="75">
        <f>UNIFAEL.[[#This Row],[Nº Parcelas normal2]]-1</f>
        <v>18</v>
      </c>
      <c r="Z94" s="73">
        <f>UNIFAEL.[[#This Row],[$ NORMAL]]</f>
        <v>291.43870800000002</v>
      </c>
      <c r="AA94" s="72">
        <f>UNIFAEL.[[#This Row],[%  SITE]]</f>
        <v>0.5</v>
      </c>
      <c r="AB94" s="73">
        <f>UNIFAEL.[[#This Row],[$ SITE]]</f>
        <v>131.15</v>
      </c>
      <c r="AC94" s="72">
        <f>UNIFAEL.[[#This Row],[%  SGP]]</f>
        <v>0.55000000000000004</v>
      </c>
      <c r="AD94" s="73">
        <f>UNIFAEL.[[#This Row],[$ SGP]]</f>
        <v>118.03</v>
      </c>
      <c r="AE94" s="69" t="s">
        <v>371</v>
      </c>
      <c r="AF94" s="69" t="s">
        <v>372</v>
      </c>
      <c r="AH94" s="121" t="s">
        <v>155</v>
      </c>
      <c r="AI94" s="69" t="s">
        <v>19</v>
      </c>
      <c r="AJ94" s="69" t="str">
        <f>VLOOKUP(UNAMA.[[#This Row],[PARCELA MATRICULA NÃO PAGA]],'[1]POS_VIVO_0112 a 3101_CAMP. REG)'!$F$115:$G$222,2,FALSE)</f>
        <v>Saúde</v>
      </c>
      <c r="AK94" s="69">
        <f>VLOOKUP(UNAMA.[[#This Row],[PARCELA MATRICULA NÃO PAGA]],'[1]POS_VIVO_0112 a 3101_CAMP. REG)'!$F$115:$H$222,3,FALSE)</f>
        <v>12</v>
      </c>
      <c r="AL94" s="69">
        <f>VLOOKUP(UNAMA.[[#This Row],[PARCELA MATRICULA NÃO PAGA]],'[1]POS_VIVO_0112 a 3101_CAMP. REG)'!$F$115:$I$222,4,FALSE)</f>
        <v>19</v>
      </c>
      <c r="AM94" s="71">
        <f>VLOOKUP(UNAMA.[[#This Row],[PARCELA MATRICULA NÃO PAGA]],'[1]POS_VIVO_0112 a 3101_CAMP. REG)'!$F$115:$J$222,5,FALSE)</f>
        <v>320.59937400000007</v>
      </c>
      <c r="AN94" s="123">
        <f>VLOOKUP(UNAMA.[[#This Row],[PARCELA MATRICULA NÃO PAGA]],'[1]POS_VIVO_0112 a 3101_CAMP. REG)'!$F$115:$L$222,7,FALSE)</f>
        <v>0.5</v>
      </c>
      <c r="AO94" s="73">
        <f>VLOOKUP(UNAMA.[[#This Row],[PARCELA MATRICULA NÃO PAGA]],'[1]POS_VIVO_0112 a 3101_CAMP. REG)'!$F$115:$M$222,8,FALSE)</f>
        <v>144.27000000000001</v>
      </c>
      <c r="AP94" s="72">
        <f>VLOOKUP(UNAMA.[[#This Row],[PARCELA MATRICULA NÃO PAGA]],'[1]POS_VIVO_0112 a 3101_CAMP. REG)'!$F$115:$P$222,11,FALSE)</f>
        <v>0.55000000000000004</v>
      </c>
      <c r="AQ94" s="73">
        <f>VLOOKUP(UNAMA.[[#This Row],[PARCELA MATRICULA NÃO PAGA]],'[1]POS_VIVO_0112 a 3101_CAMP. REG)'!$F$115:$Q$222,12,FALSE)</f>
        <v>129.84</v>
      </c>
      <c r="AR94" s="68">
        <f>UNAMA.[[#This Row],[Nº Parcelas]]</f>
        <v>19</v>
      </c>
      <c r="AS94" s="68">
        <f>UNAMA.[[#This Row],[Nº Parcelas normal2]]-1</f>
        <v>18</v>
      </c>
      <c r="AT94" s="71">
        <f>UNAMA.[[#This Row],[$ NORMAL]]</f>
        <v>320.59937400000007</v>
      </c>
      <c r="AU94" s="162">
        <f>UNAMA.[[#This Row],[%  SITE]]</f>
        <v>0.5</v>
      </c>
      <c r="AV94" s="161">
        <f>UNAMA.[[#This Row],[$ SITE]]</f>
        <v>144.27000000000001</v>
      </c>
      <c r="AW94" s="162">
        <f>UNAMA.[[#This Row],[%  SGP]]</f>
        <v>0.55000000000000004</v>
      </c>
      <c r="AX94" s="161">
        <f>UNAMA.[[#This Row],[$ SGP]]</f>
        <v>129.84</v>
      </c>
      <c r="AY94" s="69" t="s">
        <v>351</v>
      </c>
      <c r="AZ94" s="69" t="s">
        <v>372</v>
      </c>
      <c r="BB94" s="121" t="s">
        <v>155</v>
      </c>
      <c r="BC94" s="69" t="s">
        <v>19</v>
      </c>
      <c r="BD94" s="68" t="str">
        <f>VLOOKUP(UNG.[[#This Row],[CURSO]],'[1]POS_VIVO_0112 a 3101_CAMP. REG)'!$F$224:$G$331,2,FALSE)</f>
        <v>Saúde</v>
      </c>
      <c r="BE94" s="70">
        <f>VLOOKUP(UNG.[[#This Row],[CURSO]],'[1]POS_VIVO_0112 a 3101_CAMP. REG)'!$F$224:$H$331,3,FALSE)</f>
        <v>12</v>
      </c>
      <c r="BF94" s="70">
        <f>VLOOKUP(UNG.[[#This Row],[CURSO]],'[1]POS_VIVO_0112 a 3101_CAMP. REG)'!$F$224:$I$331,4,FALSE)</f>
        <v>19</v>
      </c>
      <c r="BG94" s="73">
        <f>VLOOKUP(UNG.[[#This Row],[CURSO]],'[1]POS_VIVO_0112 a 3101_CAMP. REG)'!$F$224:$J$331,5,FALSE)</f>
        <v>291.43870800000002</v>
      </c>
      <c r="BH94" s="72">
        <f>VLOOKUP(UNG.[[#This Row],[CURSO]],'[1]POS_VIVO_0112 a 3101_CAMP. REG)'!$F$224:$L$331,7,FALSE)</f>
        <v>0.5</v>
      </c>
      <c r="BI94" s="73">
        <f>VLOOKUP(UNG.[[#This Row],[CURSO]],'[1]POS_VIVO_0112 a 3101_CAMP. REG)'!$F$224:$M$331,8,FALSE)</f>
        <v>131.15</v>
      </c>
      <c r="BJ94" s="72">
        <f>VLOOKUP(UNG.[[#This Row],[CURSO]],'[1]POS_VIVO_0112 a 3101_CAMP. REG)'!$F$224:$P$331,11,FALSE)</f>
        <v>0.55000000000000004</v>
      </c>
      <c r="BK94" s="73">
        <f>VLOOKUP(UNG.[[#This Row],[CURSO]],'[1]POS_VIVO_0112 a 3101_CAMP. REG)'!$F$224:$Q$331,12,FALSE)</f>
        <v>118.03</v>
      </c>
      <c r="BL94" s="75">
        <f>UNG.[[#This Row],[Nº Parcelas]]</f>
        <v>19</v>
      </c>
      <c r="BM94" s="75">
        <f>UNG.[[#This Row],[Nº Parcelas normal2]]-1</f>
        <v>18</v>
      </c>
      <c r="BN94" s="73">
        <f>UNG.[[#This Row],[$ NORMAL]]</f>
        <v>291.43870800000002</v>
      </c>
      <c r="BO94" s="72">
        <f>UNG.[[#This Row],[%  SITE]]</f>
        <v>0.5</v>
      </c>
      <c r="BP94" s="73">
        <f>UNG.[[#This Row],[$ SITE]]</f>
        <v>131.15</v>
      </c>
      <c r="BQ94" s="72">
        <f>UNG.[[#This Row],[%  SGP]]</f>
        <v>0.55000000000000004</v>
      </c>
      <c r="BR94" s="73">
        <f>UNG.[[#This Row],[$ SGP]]</f>
        <v>118.03</v>
      </c>
      <c r="BS94" s="69" t="s">
        <v>351</v>
      </c>
      <c r="BT94" s="69" t="s">
        <v>372</v>
      </c>
      <c r="BV94" s="121" t="s">
        <v>155</v>
      </c>
      <c r="BW94" s="69" t="s">
        <v>19</v>
      </c>
      <c r="BX94" s="69" t="str">
        <f>VLOOKUP(UNINASSAU.[[#This Row],[CURSO]],'[1]POS_VIVO_0112 a 3101_CAMP. REG)'!$F$333:$G$447,2,FALSE)</f>
        <v>Saúde</v>
      </c>
      <c r="BY94" s="68">
        <f>VLOOKUP(UNINASSAU.[[#This Row],[CURSO]],'[1]POS_VIVO_0112 a 3101_CAMP. REG)'!$F$333:$H$447,3,FALSE)</f>
        <v>12</v>
      </c>
      <c r="BZ94" s="68">
        <f>VLOOKUP(UNINASSAU.[[#This Row],[CURSO]],'[1]POS_VIVO_0112 a 3101_CAMP. REG)'!$F$333:$I$447,4,FALSE)</f>
        <v>19</v>
      </c>
      <c r="CA94" s="73">
        <f>VLOOKUP(UNINASSAU.[[#This Row],[CURSO]],'[1]POS_VIVO_0112 a 3101_CAMP. REG)'!$F$333:$J$447,5,FALSE)</f>
        <v>291.43870800000002</v>
      </c>
      <c r="CB94" s="72">
        <f>VLOOKUP(UNINASSAU.[[#This Row],[CURSO]],'[1]POS_VIVO_0112 a 3101_CAMP. REG)'!$F$333:$L$447,7,FALSE)</f>
        <v>0.5</v>
      </c>
      <c r="CC94" s="73">
        <f>VLOOKUP(UNINASSAU.[[#This Row],[CURSO]],'[1]POS_VIVO_0112 a 3101_CAMP. REG)'!$F$333:$M$447,8,FALSE)</f>
        <v>131.15</v>
      </c>
      <c r="CD94" s="72">
        <f>VLOOKUP(UNINASSAU.[[#This Row],[CURSO]],'[1]POS_VIVO_0112 a 3101_CAMP. REG)'!$F$333:$P$447,11,FALSE)</f>
        <v>0.55000000000000004</v>
      </c>
      <c r="CE94" s="73">
        <f>VLOOKUP(UNINASSAU.[[#This Row],[CURSO]],'[1]POS_VIVO_0112 a 3101_CAMP. REG)'!$F$333:$Q$447,12,FALSE)</f>
        <v>118.03</v>
      </c>
      <c r="CM94" s="69"/>
      <c r="CN94" s="69"/>
      <c r="CP94" s="104">
        <v>91</v>
      </c>
      <c r="CQ94" s="121" t="s">
        <v>340</v>
      </c>
    </row>
    <row r="95" spans="14:95" ht="16.5" customHeight="1" x14ac:dyDescent="0.25">
      <c r="N95" s="121" t="s">
        <v>271</v>
      </c>
      <c r="O95" s="69" t="s">
        <v>19</v>
      </c>
      <c r="P95" s="69" t="str">
        <f>VLOOKUP(UNIFAEL.[[#This Row],[CURSO]],'[1]POS_VIVO_0112 a 3101_CAMP. REG)'!$F$5:$G$113,2,FALSE)</f>
        <v>Saúde</v>
      </c>
      <c r="Q95" s="68">
        <f>VLOOKUP(UNIFAEL.[[#This Row],[CURSO]],'[1]POS_VIVO_0112 a 3101_CAMP. REG)'!$F$5:$H$113,3,FALSE)</f>
        <v>12</v>
      </c>
      <c r="R95" s="68">
        <f>VLOOKUP(UNIFAEL.[[#This Row],[CURSO]],'[1]POS_VIVO_0112 a 3101_CAMP. REG)'!$F$5:$I$113,4,FALSE)</f>
        <v>19</v>
      </c>
      <c r="S95" s="73">
        <f>VLOOKUP(UNIFAEL.[[#This Row],[CURSO]],'[1]POS_VIVO_0112 a 3101_CAMP. REG)'!$F$5:$J$113,5,FALSE)</f>
        <v>291.43870800000002</v>
      </c>
      <c r="T95" s="124">
        <f>VLOOKUP(UNIFAEL.[[#This Row],[CURSO]],'[1]POS_VIVO_0112 a 3101_CAMP. REG)'!$F$5:$L$113,7,FALSE)</f>
        <v>0.5</v>
      </c>
      <c r="U95" s="71">
        <f>VLOOKUP(UNIFAEL.[[#This Row],[CURSO]],'[1]POS_VIVO_0112 a 3101_CAMP. REG)'!$F$5:$M$113,8,FALSE)</f>
        <v>131.15</v>
      </c>
      <c r="V95" s="72">
        <f>VLOOKUP(UNIFAEL.[[#This Row],[CURSO]],'[1]POS_VIVO_0112 a 3101_CAMP. REG)'!$F$5:$P$113,11,FALSE)</f>
        <v>0.55000000000000004</v>
      </c>
      <c r="W95" s="73">
        <f>VLOOKUP(UNIFAEL.[[#This Row],[CURSO]],'[1]POS_VIVO_0112 a 3101_CAMP. REG)'!$F$5:$Q$113,12,FALSE)</f>
        <v>118.03</v>
      </c>
      <c r="X95" s="75">
        <f>UNIFAEL.[[#This Row],[Nº Parcelas]]</f>
        <v>19</v>
      </c>
      <c r="Y95" s="75">
        <f>UNIFAEL.[[#This Row],[Nº Parcelas normal2]]-1</f>
        <v>18</v>
      </c>
      <c r="Z95" s="73">
        <f>UNIFAEL.[[#This Row],[$ NORMAL]]</f>
        <v>291.43870800000002</v>
      </c>
      <c r="AA95" s="72">
        <f>UNIFAEL.[[#This Row],[%  SITE]]</f>
        <v>0.5</v>
      </c>
      <c r="AB95" s="73">
        <f>UNIFAEL.[[#This Row],[$ SITE]]</f>
        <v>131.15</v>
      </c>
      <c r="AC95" s="72">
        <f>UNIFAEL.[[#This Row],[%  SGP]]</f>
        <v>0.55000000000000004</v>
      </c>
      <c r="AD95" s="73">
        <f>UNIFAEL.[[#This Row],[$ SGP]]</f>
        <v>118.03</v>
      </c>
      <c r="AE95" s="69" t="s">
        <v>371</v>
      </c>
      <c r="AF95" s="69" t="s">
        <v>372</v>
      </c>
      <c r="AH95" s="121" t="s">
        <v>271</v>
      </c>
      <c r="AI95" s="69" t="s">
        <v>19</v>
      </c>
      <c r="AJ95" s="69" t="str">
        <f>VLOOKUP(UNAMA.[[#This Row],[PARCELA MATRICULA NÃO PAGA]],'[1]POS_VIVO_0112 a 3101_CAMP. REG)'!$F$115:$G$222,2,FALSE)</f>
        <v>Saúde</v>
      </c>
      <c r="AK95" s="69">
        <f>VLOOKUP(UNAMA.[[#This Row],[PARCELA MATRICULA NÃO PAGA]],'[1]POS_VIVO_0112 a 3101_CAMP. REG)'!$F$115:$H$222,3,FALSE)</f>
        <v>12</v>
      </c>
      <c r="AL95" s="69">
        <f>VLOOKUP(UNAMA.[[#This Row],[PARCELA MATRICULA NÃO PAGA]],'[1]POS_VIVO_0112 a 3101_CAMP. REG)'!$F$115:$I$222,4,FALSE)</f>
        <v>19</v>
      </c>
      <c r="AM95" s="71">
        <f>VLOOKUP(UNAMA.[[#This Row],[PARCELA MATRICULA NÃO PAGA]],'[1]POS_VIVO_0112 a 3101_CAMP. REG)'!$F$115:$J$222,5,FALSE)</f>
        <v>320.59937400000007</v>
      </c>
      <c r="AN95" s="123">
        <f>VLOOKUP(UNAMA.[[#This Row],[PARCELA MATRICULA NÃO PAGA]],'[1]POS_VIVO_0112 a 3101_CAMP. REG)'!$F$115:$L$222,7,FALSE)</f>
        <v>0.5</v>
      </c>
      <c r="AO95" s="73">
        <f>VLOOKUP(UNAMA.[[#This Row],[PARCELA MATRICULA NÃO PAGA]],'[1]POS_VIVO_0112 a 3101_CAMP. REG)'!$F$115:$M$222,8,FALSE)</f>
        <v>144.27000000000001</v>
      </c>
      <c r="AP95" s="72">
        <f>VLOOKUP(UNAMA.[[#This Row],[PARCELA MATRICULA NÃO PAGA]],'[1]POS_VIVO_0112 a 3101_CAMP. REG)'!$F$115:$P$222,11,FALSE)</f>
        <v>0.55000000000000004</v>
      </c>
      <c r="AQ95" s="73">
        <f>VLOOKUP(UNAMA.[[#This Row],[PARCELA MATRICULA NÃO PAGA]],'[1]POS_VIVO_0112 a 3101_CAMP. REG)'!$F$115:$Q$222,12,FALSE)</f>
        <v>129.84</v>
      </c>
      <c r="AR95" s="68">
        <f>UNAMA.[[#This Row],[Nº Parcelas]]</f>
        <v>19</v>
      </c>
      <c r="AS95" s="68">
        <f>UNAMA.[[#This Row],[Nº Parcelas normal2]]-1</f>
        <v>18</v>
      </c>
      <c r="AT95" s="71">
        <f>UNAMA.[[#This Row],[$ NORMAL]]</f>
        <v>320.59937400000007</v>
      </c>
      <c r="AU95" s="162">
        <f>UNAMA.[[#This Row],[%  SITE]]</f>
        <v>0.5</v>
      </c>
      <c r="AV95" s="161">
        <f>UNAMA.[[#This Row],[$ SITE]]</f>
        <v>144.27000000000001</v>
      </c>
      <c r="AW95" s="162">
        <f>UNAMA.[[#This Row],[%  SGP]]</f>
        <v>0.55000000000000004</v>
      </c>
      <c r="AX95" s="161">
        <f>UNAMA.[[#This Row],[$ SGP]]</f>
        <v>129.84</v>
      </c>
      <c r="AY95" s="69" t="s">
        <v>351</v>
      </c>
      <c r="AZ95" s="69" t="s">
        <v>372</v>
      </c>
      <c r="BB95" s="121" t="s">
        <v>271</v>
      </c>
      <c r="BC95" s="69" t="s">
        <v>19</v>
      </c>
      <c r="BD95" s="68" t="str">
        <f>VLOOKUP(UNG.[[#This Row],[CURSO]],'[1]POS_VIVO_0112 a 3101_CAMP. REG)'!$F$224:$G$331,2,FALSE)</f>
        <v>Saúde</v>
      </c>
      <c r="BE95" s="70">
        <f>VLOOKUP(UNG.[[#This Row],[CURSO]],'[1]POS_VIVO_0112 a 3101_CAMP. REG)'!$F$224:$H$331,3,FALSE)</f>
        <v>12</v>
      </c>
      <c r="BF95" s="70">
        <f>VLOOKUP(UNG.[[#This Row],[CURSO]],'[1]POS_VIVO_0112 a 3101_CAMP. REG)'!$F$224:$I$331,4,FALSE)</f>
        <v>19</v>
      </c>
      <c r="BG95" s="73">
        <f>VLOOKUP(UNG.[[#This Row],[CURSO]],'[1]POS_VIVO_0112 a 3101_CAMP. REG)'!$F$224:$J$331,5,FALSE)</f>
        <v>291.43870800000002</v>
      </c>
      <c r="BH95" s="72">
        <f>VLOOKUP(UNG.[[#This Row],[CURSO]],'[1]POS_VIVO_0112 a 3101_CAMP. REG)'!$F$224:$L$331,7,FALSE)</f>
        <v>0.5</v>
      </c>
      <c r="BI95" s="73">
        <f>VLOOKUP(UNG.[[#This Row],[CURSO]],'[1]POS_VIVO_0112 a 3101_CAMP. REG)'!$F$224:$M$331,8,FALSE)</f>
        <v>131.15</v>
      </c>
      <c r="BJ95" s="72">
        <f>VLOOKUP(UNG.[[#This Row],[CURSO]],'[1]POS_VIVO_0112 a 3101_CAMP. REG)'!$F$224:$P$331,11,FALSE)</f>
        <v>0.55000000000000004</v>
      </c>
      <c r="BK95" s="73">
        <f>VLOOKUP(UNG.[[#This Row],[CURSO]],'[1]POS_VIVO_0112 a 3101_CAMP. REG)'!$F$224:$Q$331,12,FALSE)</f>
        <v>118.03</v>
      </c>
      <c r="BL95" s="75">
        <f>UNG.[[#This Row],[Nº Parcelas]]</f>
        <v>19</v>
      </c>
      <c r="BM95" s="75">
        <f>UNG.[[#This Row],[Nº Parcelas normal2]]-1</f>
        <v>18</v>
      </c>
      <c r="BN95" s="73">
        <f>UNG.[[#This Row],[$ NORMAL]]</f>
        <v>291.43870800000002</v>
      </c>
      <c r="BO95" s="72">
        <f>UNG.[[#This Row],[%  SITE]]</f>
        <v>0.5</v>
      </c>
      <c r="BP95" s="73">
        <f>UNG.[[#This Row],[$ SITE]]</f>
        <v>131.15</v>
      </c>
      <c r="BQ95" s="72">
        <f>UNG.[[#This Row],[%  SGP]]</f>
        <v>0.55000000000000004</v>
      </c>
      <c r="BR95" s="73">
        <f>UNG.[[#This Row],[$ SGP]]</f>
        <v>118.03</v>
      </c>
      <c r="BS95" s="69" t="s">
        <v>351</v>
      </c>
      <c r="BT95" s="69" t="s">
        <v>372</v>
      </c>
      <c r="BV95" s="121" t="s">
        <v>271</v>
      </c>
      <c r="BW95" s="69" t="s">
        <v>19</v>
      </c>
      <c r="BX95" s="69" t="str">
        <f>VLOOKUP(UNINASSAU.[[#This Row],[CURSO]],'[1]POS_VIVO_0112 a 3101_CAMP. REG)'!$F$333:$G$447,2,FALSE)</f>
        <v>Saúde</v>
      </c>
      <c r="BY95" s="68">
        <f>VLOOKUP(UNINASSAU.[[#This Row],[CURSO]],'[1]POS_VIVO_0112 a 3101_CAMP. REG)'!$F$333:$H$447,3,FALSE)</f>
        <v>12</v>
      </c>
      <c r="BZ95" s="68">
        <f>VLOOKUP(UNINASSAU.[[#This Row],[CURSO]],'[1]POS_VIVO_0112 a 3101_CAMP. REG)'!$F$333:$I$447,4,FALSE)</f>
        <v>19</v>
      </c>
      <c r="CA95" s="73">
        <f>VLOOKUP(UNINASSAU.[[#This Row],[CURSO]],'[1]POS_VIVO_0112 a 3101_CAMP. REG)'!$F$333:$J$447,5,FALSE)</f>
        <v>291.43870800000002</v>
      </c>
      <c r="CB95" s="72">
        <f>VLOOKUP(UNINASSAU.[[#This Row],[CURSO]],'[1]POS_VIVO_0112 a 3101_CAMP. REG)'!$F$333:$L$447,7,FALSE)</f>
        <v>0.5</v>
      </c>
      <c r="CC95" s="73">
        <f>VLOOKUP(UNINASSAU.[[#This Row],[CURSO]],'[1]POS_VIVO_0112 a 3101_CAMP. REG)'!$F$333:$M$447,8,FALSE)</f>
        <v>131.15</v>
      </c>
      <c r="CD95" s="72">
        <f>VLOOKUP(UNINASSAU.[[#This Row],[CURSO]],'[1]POS_VIVO_0112 a 3101_CAMP. REG)'!$F$333:$P$447,11,FALSE)</f>
        <v>0.55000000000000004</v>
      </c>
      <c r="CE95" s="73">
        <f>VLOOKUP(UNINASSAU.[[#This Row],[CURSO]],'[1]POS_VIVO_0112 a 3101_CAMP. REG)'!$F$333:$Q$447,12,FALSE)</f>
        <v>118.03</v>
      </c>
      <c r="CM95" s="69"/>
      <c r="CN95" s="69"/>
      <c r="CP95" s="104">
        <v>92</v>
      </c>
      <c r="CQ95" s="121" t="s">
        <v>209</v>
      </c>
    </row>
    <row r="96" spans="14:95" ht="16.5" customHeight="1" x14ac:dyDescent="0.25">
      <c r="N96" s="121" t="s">
        <v>259</v>
      </c>
      <c r="O96" s="69" t="s">
        <v>19</v>
      </c>
      <c r="P96" s="69" t="str">
        <f>VLOOKUP(UNIFAEL.[[#This Row],[CURSO]],'[1]POS_VIVO_0112 a 3101_CAMP. REG)'!$F$5:$G$113,2,FALSE)</f>
        <v>Tecnologia/Engenharia</v>
      </c>
      <c r="Q96" s="68">
        <f>VLOOKUP(UNIFAEL.[[#This Row],[CURSO]],'[1]POS_VIVO_0112 a 3101_CAMP. REG)'!$F$5:$H$113,3,FALSE)</f>
        <v>12</v>
      </c>
      <c r="R96" s="68">
        <f>VLOOKUP(UNIFAEL.[[#This Row],[CURSO]],'[1]POS_VIVO_0112 a 3101_CAMP. REG)'!$F$5:$I$113,4,FALSE)</f>
        <v>19</v>
      </c>
      <c r="S96" s="73">
        <f>VLOOKUP(UNIFAEL.[[#This Row],[CURSO]],'[1]POS_VIVO_0112 a 3101_CAMP. REG)'!$F$5:$J$113,5,FALSE)</f>
        <v>291.43870800000002</v>
      </c>
      <c r="T96" s="124">
        <f>VLOOKUP(UNIFAEL.[[#This Row],[CURSO]],'[1]POS_VIVO_0112 a 3101_CAMP. REG)'!$F$5:$L$113,7,FALSE)</f>
        <v>0.5</v>
      </c>
      <c r="U96" s="71">
        <f>VLOOKUP(UNIFAEL.[[#This Row],[CURSO]],'[1]POS_VIVO_0112 a 3101_CAMP. REG)'!$F$5:$M$113,8,FALSE)</f>
        <v>131.15</v>
      </c>
      <c r="V96" s="72">
        <f>VLOOKUP(UNIFAEL.[[#This Row],[CURSO]],'[1]POS_VIVO_0112 a 3101_CAMP. REG)'!$F$5:$P$113,11,FALSE)</f>
        <v>0.55000000000000004</v>
      </c>
      <c r="W96" s="73">
        <f>VLOOKUP(UNIFAEL.[[#This Row],[CURSO]],'[1]POS_VIVO_0112 a 3101_CAMP. REG)'!$F$5:$Q$113,12,FALSE)</f>
        <v>118.03</v>
      </c>
      <c r="X96" s="75">
        <f>UNIFAEL.[[#This Row],[Nº Parcelas]]</f>
        <v>19</v>
      </c>
      <c r="Y96" s="75">
        <f>UNIFAEL.[[#This Row],[Nº Parcelas normal2]]-1</f>
        <v>18</v>
      </c>
      <c r="Z96" s="73">
        <f>UNIFAEL.[[#This Row],[$ NORMAL]]</f>
        <v>291.43870800000002</v>
      </c>
      <c r="AA96" s="72">
        <f>UNIFAEL.[[#This Row],[%  SITE]]</f>
        <v>0.5</v>
      </c>
      <c r="AB96" s="73">
        <f>UNIFAEL.[[#This Row],[$ SITE]]</f>
        <v>131.15</v>
      </c>
      <c r="AC96" s="72">
        <f>UNIFAEL.[[#This Row],[%  SGP]]</f>
        <v>0.55000000000000004</v>
      </c>
      <c r="AD96" s="73">
        <f>UNIFAEL.[[#This Row],[$ SGP]]</f>
        <v>118.03</v>
      </c>
      <c r="AE96" s="69" t="s">
        <v>371</v>
      </c>
      <c r="AF96" s="69" t="s">
        <v>372</v>
      </c>
      <c r="AH96" s="121" t="s">
        <v>259</v>
      </c>
      <c r="AI96" s="69" t="s">
        <v>19</v>
      </c>
      <c r="AJ96" s="69" t="str">
        <f>VLOOKUP(UNAMA.[[#This Row],[PARCELA MATRICULA NÃO PAGA]],'[1]POS_VIVO_0112 a 3101_CAMP. REG)'!$F$115:$G$222,2,FALSE)</f>
        <v>Tecnologia/Engenharia</v>
      </c>
      <c r="AK96" s="69">
        <f>VLOOKUP(UNAMA.[[#This Row],[PARCELA MATRICULA NÃO PAGA]],'[1]POS_VIVO_0112 a 3101_CAMP. REG)'!$F$115:$H$222,3,FALSE)</f>
        <v>12</v>
      </c>
      <c r="AL96" s="69">
        <f>VLOOKUP(UNAMA.[[#This Row],[PARCELA MATRICULA NÃO PAGA]],'[1]POS_VIVO_0112 a 3101_CAMP. REG)'!$F$115:$I$222,4,FALSE)</f>
        <v>19</v>
      </c>
      <c r="AM96" s="71">
        <f>VLOOKUP(UNAMA.[[#This Row],[PARCELA MATRICULA NÃO PAGA]],'[1]POS_VIVO_0112 a 3101_CAMP. REG)'!$F$115:$J$222,5,FALSE)</f>
        <v>320.59937400000007</v>
      </c>
      <c r="AN96" s="123">
        <f>VLOOKUP(UNAMA.[[#This Row],[PARCELA MATRICULA NÃO PAGA]],'[1]POS_VIVO_0112 a 3101_CAMP. REG)'!$F$115:$L$222,7,FALSE)</f>
        <v>0.5</v>
      </c>
      <c r="AO96" s="73">
        <f>VLOOKUP(UNAMA.[[#This Row],[PARCELA MATRICULA NÃO PAGA]],'[1]POS_VIVO_0112 a 3101_CAMP. REG)'!$F$115:$M$222,8,FALSE)</f>
        <v>144.27000000000001</v>
      </c>
      <c r="AP96" s="72">
        <f>VLOOKUP(UNAMA.[[#This Row],[PARCELA MATRICULA NÃO PAGA]],'[1]POS_VIVO_0112 a 3101_CAMP. REG)'!$F$115:$P$222,11,FALSE)</f>
        <v>0.55000000000000004</v>
      </c>
      <c r="AQ96" s="73">
        <f>VLOOKUP(UNAMA.[[#This Row],[PARCELA MATRICULA NÃO PAGA]],'[1]POS_VIVO_0112 a 3101_CAMP. REG)'!$F$115:$Q$222,12,FALSE)</f>
        <v>129.84</v>
      </c>
      <c r="AR96" s="68">
        <f>UNAMA.[[#This Row],[Nº Parcelas]]</f>
        <v>19</v>
      </c>
      <c r="AS96" s="68">
        <f>UNAMA.[[#This Row],[Nº Parcelas normal2]]-1</f>
        <v>18</v>
      </c>
      <c r="AT96" s="71">
        <f>UNAMA.[[#This Row],[$ NORMAL]]</f>
        <v>320.59937400000007</v>
      </c>
      <c r="AU96" s="162">
        <f>UNAMA.[[#This Row],[%  SITE]]</f>
        <v>0.5</v>
      </c>
      <c r="AV96" s="161">
        <f>UNAMA.[[#This Row],[$ SITE]]</f>
        <v>144.27000000000001</v>
      </c>
      <c r="AW96" s="162">
        <f>UNAMA.[[#This Row],[%  SGP]]</f>
        <v>0.55000000000000004</v>
      </c>
      <c r="AX96" s="161">
        <f>UNAMA.[[#This Row],[$ SGP]]</f>
        <v>129.84</v>
      </c>
      <c r="AY96" s="69" t="s">
        <v>351</v>
      </c>
      <c r="AZ96" s="69" t="s">
        <v>372</v>
      </c>
      <c r="BB96" s="121" t="s">
        <v>259</v>
      </c>
      <c r="BC96" s="69" t="s">
        <v>19</v>
      </c>
      <c r="BD96" s="68" t="str">
        <f>VLOOKUP(UNG.[[#This Row],[CURSO]],'[1]POS_VIVO_0112 a 3101_CAMP. REG)'!$F$224:$G$331,2,FALSE)</f>
        <v>Tecnologia/Engenharia</v>
      </c>
      <c r="BE96" s="70">
        <f>VLOOKUP(UNG.[[#This Row],[CURSO]],'[1]POS_VIVO_0112 a 3101_CAMP. REG)'!$F$224:$H$331,3,FALSE)</f>
        <v>12</v>
      </c>
      <c r="BF96" s="70">
        <f>VLOOKUP(UNG.[[#This Row],[CURSO]],'[1]POS_VIVO_0112 a 3101_CAMP. REG)'!$F$224:$I$331,4,FALSE)</f>
        <v>19</v>
      </c>
      <c r="BG96" s="73">
        <f>VLOOKUP(UNG.[[#This Row],[CURSO]],'[1]POS_VIVO_0112 a 3101_CAMP. REG)'!$F$224:$J$331,5,FALSE)</f>
        <v>291.43870800000002</v>
      </c>
      <c r="BH96" s="72">
        <f>VLOOKUP(UNG.[[#This Row],[CURSO]],'[1]POS_VIVO_0112 a 3101_CAMP. REG)'!$F$224:$L$331,7,FALSE)</f>
        <v>0.5</v>
      </c>
      <c r="BI96" s="73">
        <f>VLOOKUP(UNG.[[#This Row],[CURSO]],'[1]POS_VIVO_0112 a 3101_CAMP. REG)'!$F$224:$M$331,8,FALSE)</f>
        <v>131.15</v>
      </c>
      <c r="BJ96" s="72">
        <f>VLOOKUP(UNG.[[#This Row],[CURSO]],'[1]POS_VIVO_0112 a 3101_CAMP. REG)'!$F$224:$P$331,11,FALSE)</f>
        <v>0.55000000000000004</v>
      </c>
      <c r="BK96" s="73">
        <f>VLOOKUP(UNG.[[#This Row],[CURSO]],'[1]POS_VIVO_0112 a 3101_CAMP. REG)'!$F$224:$Q$331,12,FALSE)</f>
        <v>118.03</v>
      </c>
      <c r="BL96" s="75">
        <f>UNG.[[#This Row],[Nº Parcelas]]</f>
        <v>19</v>
      </c>
      <c r="BM96" s="75">
        <f>UNG.[[#This Row],[Nº Parcelas normal2]]-1</f>
        <v>18</v>
      </c>
      <c r="BN96" s="73">
        <f>UNG.[[#This Row],[$ NORMAL]]</f>
        <v>291.43870800000002</v>
      </c>
      <c r="BO96" s="72">
        <f>UNG.[[#This Row],[%  SITE]]</f>
        <v>0.5</v>
      </c>
      <c r="BP96" s="73">
        <f>UNG.[[#This Row],[$ SITE]]</f>
        <v>131.15</v>
      </c>
      <c r="BQ96" s="72">
        <f>UNG.[[#This Row],[%  SGP]]</f>
        <v>0.55000000000000004</v>
      </c>
      <c r="BR96" s="73">
        <f>UNG.[[#This Row],[$ SGP]]</f>
        <v>118.03</v>
      </c>
      <c r="BS96" s="69" t="s">
        <v>351</v>
      </c>
      <c r="BT96" s="69" t="s">
        <v>372</v>
      </c>
      <c r="BV96" s="121" t="s">
        <v>259</v>
      </c>
      <c r="BW96" s="69" t="s">
        <v>19</v>
      </c>
      <c r="BX96" s="69" t="str">
        <f>VLOOKUP(UNINASSAU.[[#This Row],[CURSO]],'[1]POS_VIVO_0112 a 3101_CAMP. REG)'!$F$333:$G$447,2,FALSE)</f>
        <v>Tecnologia/Engenharia</v>
      </c>
      <c r="BY96" s="68">
        <f>VLOOKUP(UNINASSAU.[[#This Row],[CURSO]],'[1]POS_VIVO_0112 a 3101_CAMP. REG)'!$F$333:$H$447,3,FALSE)</f>
        <v>12</v>
      </c>
      <c r="BZ96" s="68">
        <f>VLOOKUP(UNINASSAU.[[#This Row],[CURSO]],'[1]POS_VIVO_0112 a 3101_CAMP. REG)'!$F$333:$I$447,4,FALSE)</f>
        <v>19</v>
      </c>
      <c r="CA96" s="73">
        <f>VLOOKUP(UNINASSAU.[[#This Row],[CURSO]],'[1]POS_VIVO_0112 a 3101_CAMP. REG)'!$F$333:$J$447,5,FALSE)</f>
        <v>291.43870800000002</v>
      </c>
      <c r="CB96" s="72">
        <f>VLOOKUP(UNINASSAU.[[#This Row],[CURSO]],'[1]POS_VIVO_0112 a 3101_CAMP. REG)'!$F$333:$L$447,7,FALSE)</f>
        <v>0.5</v>
      </c>
      <c r="CC96" s="73">
        <f>VLOOKUP(UNINASSAU.[[#This Row],[CURSO]],'[1]POS_VIVO_0112 a 3101_CAMP. REG)'!$F$333:$M$447,8,FALSE)</f>
        <v>131.15</v>
      </c>
      <c r="CD96" s="72">
        <f>VLOOKUP(UNINASSAU.[[#This Row],[CURSO]],'[1]POS_VIVO_0112 a 3101_CAMP. REG)'!$F$333:$P$447,11,FALSE)</f>
        <v>0.55000000000000004</v>
      </c>
      <c r="CE96" s="73">
        <f>VLOOKUP(UNINASSAU.[[#This Row],[CURSO]],'[1]POS_VIVO_0112 a 3101_CAMP. REG)'!$F$333:$Q$447,12,FALSE)</f>
        <v>118.03</v>
      </c>
      <c r="CM96" s="69"/>
      <c r="CN96" s="69"/>
      <c r="CP96" s="104">
        <v>93</v>
      </c>
      <c r="CQ96" s="121" t="s">
        <v>343</v>
      </c>
    </row>
    <row r="97" spans="14:95" ht="16.5" customHeight="1" x14ac:dyDescent="0.25">
      <c r="N97" s="121" t="s">
        <v>280</v>
      </c>
      <c r="O97" s="69" t="s">
        <v>19</v>
      </c>
      <c r="P97" s="69" t="str">
        <f>VLOOKUP(UNIFAEL.[[#This Row],[CURSO]],'[1]POS_VIVO_0112 a 3101_CAMP. REG)'!$F$5:$G$113,2,FALSE)</f>
        <v>Direito</v>
      </c>
      <c r="Q97" s="68">
        <f>VLOOKUP(UNIFAEL.[[#This Row],[CURSO]],'[1]POS_VIVO_0112 a 3101_CAMP. REG)'!$F$5:$H$113,3,FALSE)</f>
        <v>12</v>
      </c>
      <c r="R97" s="68">
        <f>VLOOKUP(UNIFAEL.[[#This Row],[CURSO]],'[1]POS_VIVO_0112 a 3101_CAMP. REG)'!$F$5:$I$113,4,FALSE)</f>
        <v>19</v>
      </c>
      <c r="S97" s="73">
        <f>VLOOKUP(UNIFAEL.[[#This Row],[CURSO]],'[1]POS_VIVO_0112 a 3101_CAMP. REG)'!$F$5:$J$113,5,FALSE)</f>
        <v>262.27804200000003</v>
      </c>
      <c r="T97" s="124">
        <f>VLOOKUP(UNIFAEL.[[#This Row],[CURSO]],'[1]POS_VIVO_0112 a 3101_CAMP. REG)'!$F$5:$L$113,7,FALSE)</f>
        <v>0.5</v>
      </c>
      <c r="U97" s="71">
        <f>VLOOKUP(UNIFAEL.[[#This Row],[CURSO]],'[1]POS_VIVO_0112 a 3101_CAMP. REG)'!$F$5:$M$113,8,FALSE)</f>
        <v>118.03</v>
      </c>
      <c r="V97" s="72">
        <f>VLOOKUP(UNIFAEL.[[#This Row],[CURSO]],'[1]POS_VIVO_0112 a 3101_CAMP. REG)'!$F$5:$P$113,11,FALSE)</f>
        <v>0.55000000000000004</v>
      </c>
      <c r="W97" s="73">
        <f>VLOOKUP(UNIFAEL.[[#This Row],[CURSO]],'[1]POS_VIVO_0112 a 3101_CAMP. REG)'!$F$5:$Q$113,12,FALSE)</f>
        <v>106.22</v>
      </c>
      <c r="X97" s="75">
        <f>UNIFAEL.[[#This Row],[Nº Parcelas]]</f>
        <v>19</v>
      </c>
      <c r="Y97" s="75">
        <f>UNIFAEL.[[#This Row],[Nº Parcelas normal2]]-1</f>
        <v>18</v>
      </c>
      <c r="Z97" s="73">
        <f>UNIFAEL.[[#This Row],[$ NORMAL]]</f>
        <v>262.27804200000003</v>
      </c>
      <c r="AA97" s="72">
        <f>UNIFAEL.[[#This Row],[%  SITE]]</f>
        <v>0.5</v>
      </c>
      <c r="AB97" s="73">
        <f>UNIFAEL.[[#This Row],[$ SITE]]</f>
        <v>118.03</v>
      </c>
      <c r="AC97" s="72">
        <f>UNIFAEL.[[#This Row],[%  SGP]]</f>
        <v>0.55000000000000004</v>
      </c>
      <c r="AD97" s="73">
        <f>UNIFAEL.[[#This Row],[$ SGP]]</f>
        <v>106.22</v>
      </c>
      <c r="AE97" s="69" t="s">
        <v>371</v>
      </c>
      <c r="AF97" s="69" t="s">
        <v>372</v>
      </c>
      <c r="AH97" s="121" t="s">
        <v>280</v>
      </c>
      <c r="AI97" s="69" t="s">
        <v>19</v>
      </c>
      <c r="AJ97" s="69" t="str">
        <f>VLOOKUP(UNAMA.[[#This Row],[PARCELA MATRICULA NÃO PAGA]],'[1]POS_VIVO_0112 a 3101_CAMP. REG)'!$F$115:$G$222,2,FALSE)</f>
        <v>Direito</v>
      </c>
      <c r="AK97" s="69">
        <f>VLOOKUP(UNAMA.[[#This Row],[PARCELA MATRICULA NÃO PAGA]],'[1]POS_VIVO_0112 a 3101_CAMP. REG)'!$F$115:$H$222,3,FALSE)</f>
        <v>12</v>
      </c>
      <c r="AL97" s="69">
        <f>VLOOKUP(UNAMA.[[#This Row],[PARCELA MATRICULA NÃO PAGA]],'[1]POS_VIVO_0112 a 3101_CAMP. REG)'!$F$115:$I$222,4,FALSE)</f>
        <v>19</v>
      </c>
      <c r="AM97" s="71">
        <f>VLOOKUP(UNAMA.[[#This Row],[PARCELA MATRICULA NÃO PAGA]],'[1]POS_VIVO_0112 a 3101_CAMP. REG)'!$F$115:$J$222,5,FALSE)</f>
        <v>291.43870800000002</v>
      </c>
      <c r="AN97" s="123">
        <f>VLOOKUP(UNAMA.[[#This Row],[PARCELA MATRICULA NÃO PAGA]],'[1]POS_VIVO_0112 a 3101_CAMP. REG)'!$F$115:$L$222,7,FALSE)</f>
        <v>0.5</v>
      </c>
      <c r="AO97" s="73">
        <f>VLOOKUP(UNAMA.[[#This Row],[PARCELA MATRICULA NÃO PAGA]],'[1]POS_VIVO_0112 a 3101_CAMP. REG)'!$F$115:$M$222,8,FALSE)</f>
        <v>131.15</v>
      </c>
      <c r="AP97" s="72">
        <f>VLOOKUP(UNAMA.[[#This Row],[PARCELA MATRICULA NÃO PAGA]],'[1]POS_VIVO_0112 a 3101_CAMP. REG)'!$F$115:$P$222,11,FALSE)</f>
        <v>0.55000000000000004</v>
      </c>
      <c r="AQ97" s="73">
        <f>VLOOKUP(UNAMA.[[#This Row],[PARCELA MATRICULA NÃO PAGA]],'[1]POS_VIVO_0112 a 3101_CAMP. REG)'!$F$115:$Q$222,12,FALSE)</f>
        <v>118.03</v>
      </c>
      <c r="AR97" s="68">
        <f>UNAMA.[[#This Row],[Nº Parcelas]]</f>
        <v>19</v>
      </c>
      <c r="AS97" s="68">
        <f>UNAMA.[[#This Row],[Nº Parcelas normal2]]-1</f>
        <v>18</v>
      </c>
      <c r="AT97" s="71">
        <f>UNAMA.[[#This Row],[$ NORMAL]]</f>
        <v>291.43870800000002</v>
      </c>
      <c r="AU97" s="162">
        <f>UNAMA.[[#This Row],[%  SITE]]</f>
        <v>0.5</v>
      </c>
      <c r="AV97" s="161">
        <f>UNAMA.[[#This Row],[$ SITE]]</f>
        <v>131.15</v>
      </c>
      <c r="AW97" s="162">
        <f>UNAMA.[[#This Row],[%  SGP]]</f>
        <v>0.55000000000000004</v>
      </c>
      <c r="AX97" s="161">
        <f>UNAMA.[[#This Row],[$ SGP]]</f>
        <v>118.03</v>
      </c>
      <c r="AY97" s="69" t="s">
        <v>351</v>
      </c>
      <c r="AZ97" s="69" t="s">
        <v>372</v>
      </c>
      <c r="BB97" s="121" t="s">
        <v>280</v>
      </c>
      <c r="BC97" s="69" t="s">
        <v>19</v>
      </c>
      <c r="BD97" s="68" t="str">
        <f>VLOOKUP(UNG.[[#This Row],[CURSO]],'[1]POS_VIVO_0112 a 3101_CAMP. REG)'!$F$224:$G$331,2,FALSE)</f>
        <v>Direito</v>
      </c>
      <c r="BE97" s="70">
        <f>VLOOKUP(UNG.[[#This Row],[CURSO]],'[1]POS_VIVO_0112 a 3101_CAMP. REG)'!$F$224:$H$331,3,FALSE)</f>
        <v>12</v>
      </c>
      <c r="BF97" s="70">
        <f>VLOOKUP(UNG.[[#This Row],[CURSO]],'[1]POS_VIVO_0112 a 3101_CAMP. REG)'!$F$224:$I$331,4,FALSE)</f>
        <v>19</v>
      </c>
      <c r="BG97" s="73">
        <f>VLOOKUP(UNG.[[#This Row],[CURSO]],'[1]POS_VIVO_0112 a 3101_CAMP. REG)'!$F$224:$J$331,5,FALSE)</f>
        <v>262.27804200000003</v>
      </c>
      <c r="BH97" s="72">
        <f>VLOOKUP(UNG.[[#This Row],[CURSO]],'[1]POS_VIVO_0112 a 3101_CAMP. REG)'!$F$224:$L$331,7,FALSE)</f>
        <v>0.5</v>
      </c>
      <c r="BI97" s="73">
        <f>VLOOKUP(UNG.[[#This Row],[CURSO]],'[1]POS_VIVO_0112 a 3101_CAMP. REG)'!$F$224:$M$331,8,FALSE)</f>
        <v>118.03</v>
      </c>
      <c r="BJ97" s="72">
        <f>VLOOKUP(UNG.[[#This Row],[CURSO]],'[1]POS_VIVO_0112 a 3101_CAMP. REG)'!$F$224:$P$331,11,FALSE)</f>
        <v>0.55000000000000004</v>
      </c>
      <c r="BK97" s="73">
        <f>VLOOKUP(UNG.[[#This Row],[CURSO]],'[1]POS_VIVO_0112 a 3101_CAMP. REG)'!$F$224:$Q$331,12,FALSE)</f>
        <v>106.22</v>
      </c>
      <c r="BL97" s="75">
        <f>UNG.[[#This Row],[Nº Parcelas]]</f>
        <v>19</v>
      </c>
      <c r="BM97" s="75">
        <f>UNG.[[#This Row],[Nº Parcelas normal2]]-1</f>
        <v>18</v>
      </c>
      <c r="BN97" s="73">
        <f>UNG.[[#This Row],[$ NORMAL]]</f>
        <v>262.27804200000003</v>
      </c>
      <c r="BO97" s="72">
        <f>UNG.[[#This Row],[%  SITE]]</f>
        <v>0.5</v>
      </c>
      <c r="BP97" s="73">
        <f>UNG.[[#This Row],[$ SITE]]</f>
        <v>118.03</v>
      </c>
      <c r="BQ97" s="72">
        <f>UNG.[[#This Row],[%  SGP]]</f>
        <v>0.55000000000000004</v>
      </c>
      <c r="BR97" s="73">
        <f>UNG.[[#This Row],[$ SGP]]</f>
        <v>106.22</v>
      </c>
      <c r="BS97" s="69" t="s">
        <v>351</v>
      </c>
      <c r="BT97" s="69" t="s">
        <v>372</v>
      </c>
      <c r="BV97" s="121" t="s">
        <v>280</v>
      </c>
      <c r="BW97" s="69" t="s">
        <v>19</v>
      </c>
      <c r="BX97" s="69" t="str">
        <f>VLOOKUP(UNINASSAU.[[#This Row],[CURSO]],'[1]POS_VIVO_0112 a 3101_CAMP. REG)'!$F$333:$G$447,2,FALSE)</f>
        <v>Direito</v>
      </c>
      <c r="BY97" s="68">
        <f>VLOOKUP(UNINASSAU.[[#This Row],[CURSO]],'[1]POS_VIVO_0112 a 3101_CAMP. REG)'!$F$333:$H$447,3,FALSE)</f>
        <v>12</v>
      </c>
      <c r="BZ97" s="68">
        <f>VLOOKUP(UNINASSAU.[[#This Row],[CURSO]],'[1]POS_VIVO_0112 a 3101_CAMP. REG)'!$F$333:$I$447,4,FALSE)</f>
        <v>19</v>
      </c>
      <c r="CA97" s="73">
        <f>VLOOKUP(UNINASSAU.[[#This Row],[CURSO]],'[1]POS_VIVO_0112 a 3101_CAMP. REG)'!$F$333:$J$447,5,FALSE)</f>
        <v>262.27804200000003</v>
      </c>
      <c r="CB97" s="72">
        <f>VLOOKUP(UNINASSAU.[[#This Row],[CURSO]],'[1]POS_VIVO_0112 a 3101_CAMP. REG)'!$F$333:$L$447,7,FALSE)</f>
        <v>0.5</v>
      </c>
      <c r="CC97" s="73">
        <f>VLOOKUP(UNINASSAU.[[#This Row],[CURSO]],'[1]POS_VIVO_0112 a 3101_CAMP. REG)'!$F$333:$M$447,8,FALSE)</f>
        <v>118.03</v>
      </c>
      <c r="CD97" s="72">
        <f>VLOOKUP(UNINASSAU.[[#This Row],[CURSO]],'[1]POS_VIVO_0112 a 3101_CAMP. REG)'!$F$333:$P$447,11,FALSE)</f>
        <v>0.55000000000000004</v>
      </c>
      <c r="CE97" s="73">
        <f>VLOOKUP(UNINASSAU.[[#This Row],[CURSO]],'[1]POS_VIVO_0112 a 3101_CAMP. REG)'!$F$333:$Q$447,12,FALSE)</f>
        <v>106.22</v>
      </c>
      <c r="CM97" s="69"/>
      <c r="CN97" s="69"/>
      <c r="CP97" s="104">
        <v>94</v>
      </c>
      <c r="CQ97" s="121" t="s">
        <v>281</v>
      </c>
    </row>
    <row r="98" spans="14:95" ht="16.5" customHeight="1" x14ac:dyDescent="0.25">
      <c r="N98" s="121" t="s">
        <v>291</v>
      </c>
      <c r="O98" s="69" t="s">
        <v>19</v>
      </c>
      <c r="P98" s="69" t="str">
        <f>VLOOKUP(UNIFAEL.[[#This Row],[CURSO]],'[1]POS_VIVO_0112 a 3101_CAMP. REG)'!$F$5:$G$113,2,FALSE)</f>
        <v>Saúde</v>
      </c>
      <c r="Q98" s="68">
        <f>VLOOKUP(UNIFAEL.[[#This Row],[CURSO]],'[1]POS_VIVO_0112 a 3101_CAMP. REG)'!$F$5:$H$113,3,FALSE)</f>
        <v>12</v>
      </c>
      <c r="R98" s="68">
        <f>VLOOKUP(UNIFAEL.[[#This Row],[CURSO]],'[1]POS_VIVO_0112 a 3101_CAMP. REG)'!$F$5:$I$113,4,FALSE)</f>
        <v>19</v>
      </c>
      <c r="S98" s="73">
        <f>VLOOKUP(UNIFAEL.[[#This Row],[CURSO]],'[1]POS_VIVO_0112 a 3101_CAMP. REG)'!$F$5:$J$113,5,FALSE)</f>
        <v>291.43870800000002</v>
      </c>
      <c r="T98" s="124">
        <f>VLOOKUP(UNIFAEL.[[#This Row],[CURSO]],'[1]POS_VIVO_0112 a 3101_CAMP. REG)'!$F$5:$L$113,7,FALSE)</f>
        <v>0.5</v>
      </c>
      <c r="U98" s="71">
        <f>VLOOKUP(UNIFAEL.[[#This Row],[CURSO]],'[1]POS_VIVO_0112 a 3101_CAMP. REG)'!$F$5:$M$113,8,FALSE)</f>
        <v>131.15</v>
      </c>
      <c r="V98" s="72">
        <f>VLOOKUP(UNIFAEL.[[#This Row],[CURSO]],'[1]POS_VIVO_0112 a 3101_CAMP. REG)'!$F$5:$P$113,11,FALSE)</f>
        <v>0.55000000000000004</v>
      </c>
      <c r="W98" s="73">
        <f>VLOOKUP(UNIFAEL.[[#This Row],[CURSO]],'[1]POS_VIVO_0112 a 3101_CAMP. REG)'!$F$5:$Q$113,12,FALSE)</f>
        <v>118.03</v>
      </c>
      <c r="X98" s="75">
        <f>UNIFAEL.[[#This Row],[Nº Parcelas]]</f>
        <v>19</v>
      </c>
      <c r="Y98" s="75">
        <f>UNIFAEL.[[#This Row],[Nº Parcelas normal2]]-1</f>
        <v>18</v>
      </c>
      <c r="Z98" s="73">
        <f>UNIFAEL.[[#This Row],[$ NORMAL]]</f>
        <v>291.43870800000002</v>
      </c>
      <c r="AA98" s="72">
        <f>UNIFAEL.[[#This Row],[%  SITE]]</f>
        <v>0.5</v>
      </c>
      <c r="AB98" s="73">
        <f>UNIFAEL.[[#This Row],[$ SITE]]</f>
        <v>131.15</v>
      </c>
      <c r="AC98" s="72">
        <f>UNIFAEL.[[#This Row],[%  SGP]]</f>
        <v>0.55000000000000004</v>
      </c>
      <c r="AD98" s="73">
        <f>UNIFAEL.[[#This Row],[$ SGP]]</f>
        <v>118.03</v>
      </c>
      <c r="AE98" s="69" t="s">
        <v>371</v>
      </c>
      <c r="AF98" s="69" t="s">
        <v>372</v>
      </c>
      <c r="AH98" s="121" t="s">
        <v>291</v>
      </c>
      <c r="AI98" s="69" t="s">
        <v>19</v>
      </c>
      <c r="AJ98" s="69" t="str">
        <f>VLOOKUP(UNAMA.[[#This Row],[PARCELA MATRICULA NÃO PAGA]],'[1]POS_VIVO_0112 a 3101_CAMP. REG)'!$F$115:$G$222,2,FALSE)</f>
        <v>Saúde</v>
      </c>
      <c r="AK98" s="69">
        <f>VLOOKUP(UNAMA.[[#This Row],[PARCELA MATRICULA NÃO PAGA]],'[1]POS_VIVO_0112 a 3101_CAMP. REG)'!$F$115:$H$222,3,FALSE)</f>
        <v>12</v>
      </c>
      <c r="AL98" s="69">
        <f>VLOOKUP(UNAMA.[[#This Row],[PARCELA MATRICULA NÃO PAGA]],'[1]POS_VIVO_0112 a 3101_CAMP. REG)'!$F$115:$I$222,4,FALSE)</f>
        <v>19</v>
      </c>
      <c r="AM98" s="71">
        <f>VLOOKUP(UNAMA.[[#This Row],[PARCELA MATRICULA NÃO PAGA]],'[1]POS_VIVO_0112 a 3101_CAMP. REG)'!$F$115:$J$222,5,FALSE)</f>
        <v>320.59937400000007</v>
      </c>
      <c r="AN98" s="123">
        <f>VLOOKUP(UNAMA.[[#This Row],[PARCELA MATRICULA NÃO PAGA]],'[1]POS_VIVO_0112 a 3101_CAMP. REG)'!$F$115:$L$222,7,FALSE)</f>
        <v>0.5</v>
      </c>
      <c r="AO98" s="73">
        <f>VLOOKUP(UNAMA.[[#This Row],[PARCELA MATRICULA NÃO PAGA]],'[1]POS_VIVO_0112 a 3101_CAMP. REG)'!$F$115:$M$222,8,FALSE)</f>
        <v>144.27000000000001</v>
      </c>
      <c r="AP98" s="72">
        <f>VLOOKUP(UNAMA.[[#This Row],[PARCELA MATRICULA NÃO PAGA]],'[1]POS_VIVO_0112 a 3101_CAMP. REG)'!$F$115:$P$222,11,FALSE)</f>
        <v>0.55000000000000004</v>
      </c>
      <c r="AQ98" s="73">
        <f>VLOOKUP(UNAMA.[[#This Row],[PARCELA MATRICULA NÃO PAGA]],'[1]POS_VIVO_0112 a 3101_CAMP. REG)'!$F$115:$Q$222,12,FALSE)</f>
        <v>129.84</v>
      </c>
      <c r="AR98" s="68">
        <f>UNAMA.[[#This Row],[Nº Parcelas]]</f>
        <v>19</v>
      </c>
      <c r="AS98" s="68">
        <f>UNAMA.[[#This Row],[Nº Parcelas normal2]]-1</f>
        <v>18</v>
      </c>
      <c r="AT98" s="71">
        <f>UNAMA.[[#This Row],[$ NORMAL]]</f>
        <v>320.59937400000007</v>
      </c>
      <c r="AU98" s="162">
        <f>UNAMA.[[#This Row],[%  SITE]]</f>
        <v>0.5</v>
      </c>
      <c r="AV98" s="161">
        <f>UNAMA.[[#This Row],[$ SITE]]</f>
        <v>144.27000000000001</v>
      </c>
      <c r="AW98" s="162">
        <f>UNAMA.[[#This Row],[%  SGP]]</f>
        <v>0.55000000000000004</v>
      </c>
      <c r="AX98" s="161">
        <f>UNAMA.[[#This Row],[$ SGP]]</f>
        <v>129.84</v>
      </c>
      <c r="AY98" s="69" t="s">
        <v>351</v>
      </c>
      <c r="AZ98" s="69" t="s">
        <v>372</v>
      </c>
      <c r="BB98" s="121" t="s">
        <v>291</v>
      </c>
      <c r="BC98" s="69" t="s">
        <v>19</v>
      </c>
      <c r="BD98" s="68" t="str">
        <f>VLOOKUP(UNG.[[#This Row],[CURSO]],'[1]POS_VIVO_0112 a 3101_CAMP. REG)'!$F$224:$G$331,2,FALSE)</f>
        <v>Saúde</v>
      </c>
      <c r="BE98" s="70">
        <f>VLOOKUP(UNG.[[#This Row],[CURSO]],'[1]POS_VIVO_0112 a 3101_CAMP. REG)'!$F$224:$H$331,3,FALSE)</f>
        <v>12</v>
      </c>
      <c r="BF98" s="70">
        <f>VLOOKUP(UNG.[[#This Row],[CURSO]],'[1]POS_VIVO_0112 a 3101_CAMP. REG)'!$F$224:$I$331,4,FALSE)</f>
        <v>19</v>
      </c>
      <c r="BG98" s="73">
        <f>VLOOKUP(UNG.[[#This Row],[CURSO]],'[1]POS_VIVO_0112 a 3101_CAMP. REG)'!$F$224:$J$331,5,FALSE)</f>
        <v>291.43870800000002</v>
      </c>
      <c r="BH98" s="72">
        <f>VLOOKUP(UNG.[[#This Row],[CURSO]],'[1]POS_VIVO_0112 a 3101_CAMP. REG)'!$F$224:$L$331,7,FALSE)</f>
        <v>0.5</v>
      </c>
      <c r="BI98" s="73">
        <f>VLOOKUP(UNG.[[#This Row],[CURSO]],'[1]POS_VIVO_0112 a 3101_CAMP. REG)'!$F$224:$M$331,8,FALSE)</f>
        <v>131.15</v>
      </c>
      <c r="BJ98" s="72">
        <f>VLOOKUP(UNG.[[#This Row],[CURSO]],'[1]POS_VIVO_0112 a 3101_CAMP. REG)'!$F$224:$P$331,11,FALSE)</f>
        <v>0.55000000000000004</v>
      </c>
      <c r="BK98" s="73">
        <f>VLOOKUP(UNG.[[#This Row],[CURSO]],'[1]POS_VIVO_0112 a 3101_CAMP. REG)'!$F$224:$Q$331,12,FALSE)</f>
        <v>118.03</v>
      </c>
      <c r="BL98" s="75">
        <f>UNG.[[#This Row],[Nº Parcelas]]</f>
        <v>19</v>
      </c>
      <c r="BM98" s="75">
        <f>UNG.[[#This Row],[Nº Parcelas normal2]]-1</f>
        <v>18</v>
      </c>
      <c r="BN98" s="73">
        <f>UNG.[[#This Row],[$ NORMAL]]</f>
        <v>291.43870800000002</v>
      </c>
      <c r="BO98" s="72">
        <f>UNG.[[#This Row],[%  SITE]]</f>
        <v>0.5</v>
      </c>
      <c r="BP98" s="73">
        <f>UNG.[[#This Row],[$ SITE]]</f>
        <v>131.15</v>
      </c>
      <c r="BQ98" s="72">
        <f>UNG.[[#This Row],[%  SGP]]</f>
        <v>0.55000000000000004</v>
      </c>
      <c r="BR98" s="73">
        <f>UNG.[[#This Row],[$ SGP]]</f>
        <v>118.03</v>
      </c>
      <c r="BS98" s="69" t="s">
        <v>351</v>
      </c>
      <c r="BT98" s="69" t="s">
        <v>372</v>
      </c>
      <c r="BV98" s="121" t="s">
        <v>291</v>
      </c>
      <c r="BW98" s="69" t="s">
        <v>19</v>
      </c>
      <c r="BX98" s="69" t="str">
        <f>VLOOKUP(UNINASSAU.[[#This Row],[CURSO]],'[1]POS_VIVO_0112 a 3101_CAMP. REG)'!$F$333:$G$447,2,FALSE)</f>
        <v>Saúde</v>
      </c>
      <c r="BY98" s="68">
        <f>VLOOKUP(UNINASSAU.[[#This Row],[CURSO]],'[1]POS_VIVO_0112 a 3101_CAMP. REG)'!$F$333:$H$447,3,FALSE)</f>
        <v>12</v>
      </c>
      <c r="BZ98" s="68">
        <f>VLOOKUP(UNINASSAU.[[#This Row],[CURSO]],'[1]POS_VIVO_0112 a 3101_CAMP. REG)'!$F$333:$I$447,4,FALSE)</f>
        <v>19</v>
      </c>
      <c r="CA98" s="73">
        <f>VLOOKUP(UNINASSAU.[[#This Row],[CURSO]],'[1]POS_VIVO_0112 a 3101_CAMP. REG)'!$F$333:$J$447,5,FALSE)</f>
        <v>291.43870800000002</v>
      </c>
      <c r="CB98" s="72">
        <f>VLOOKUP(UNINASSAU.[[#This Row],[CURSO]],'[1]POS_VIVO_0112 a 3101_CAMP. REG)'!$F$333:$L$447,7,FALSE)</f>
        <v>0.5</v>
      </c>
      <c r="CC98" s="73">
        <f>VLOOKUP(UNINASSAU.[[#This Row],[CURSO]],'[1]POS_VIVO_0112 a 3101_CAMP. REG)'!$F$333:$M$447,8,FALSE)</f>
        <v>131.15</v>
      </c>
      <c r="CD98" s="72">
        <f>VLOOKUP(UNINASSAU.[[#This Row],[CURSO]],'[1]POS_VIVO_0112 a 3101_CAMP. REG)'!$F$333:$P$447,11,FALSE)</f>
        <v>0.55000000000000004</v>
      </c>
      <c r="CE98" s="73">
        <f>VLOOKUP(UNINASSAU.[[#This Row],[CURSO]],'[1]POS_VIVO_0112 a 3101_CAMP. REG)'!$F$333:$Q$447,12,FALSE)</f>
        <v>118.03</v>
      </c>
      <c r="CM98" s="69"/>
      <c r="CN98" s="69"/>
      <c r="CP98" s="104">
        <v>95</v>
      </c>
      <c r="CQ98" s="121" t="s">
        <v>338</v>
      </c>
    </row>
    <row r="99" spans="14:95" ht="16.5" customHeight="1" x14ac:dyDescent="0.25">
      <c r="N99" s="121" t="s">
        <v>281</v>
      </c>
      <c r="O99" s="69" t="s">
        <v>19</v>
      </c>
      <c r="P99" s="69" t="str">
        <f>VLOOKUP(UNIFAEL.[[#This Row],[CURSO]],'[1]POS_VIVO_0112 a 3101_CAMP. REG)'!$F$5:$G$113,2,FALSE)</f>
        <v>Gestão</v>
      </c>
      <c r="Q99" s="68">
        <f>VLOOKUP(UNIFAEL.[[#This Row],[CURSO]],'[1]POS_VIVO_0112 a 3101_CAMP. REG)'!$F$5:$H$113,3,FALSE)</f>
        <v>15</v>
      </c>
      <c r="R99" s="68">
        <f>VLOOKUP(UNIFAEL.[[#This Row],[CURSO]],'[1]POS_VIVO_0112 a 3101_CAMP. REG)'!$F$5:$I$113,4,FALSE)</f>
        <v>19</v>
      </c>
      <c r="S99" s="73">
        <f>VLOOKUP(UNIFAEL.[[#This Row],[CURSO]],'[1]POS_VIVO_0112 a 3101_CAMP. REG)'!$F$5:$J$113,5,FALSE)</f>
        <v>320.59937400000007</v>
      </c>
      <c r="T99" s="124">
        <f>VLOOKUP(UNIFAEL.[[#This Row],[CURSO]],'[1]POS_VIVO_0112 a 3101_CAMP. REG)'!$F$5:$L$113,7,FALSE)</f>
        <v>0.3</v>
      </c>
      <c r="U99" s="71">
        <f>VLOOKUP(UNIFAEL.[[#This Row],[CURSO]],'[1]POS_VIVO_0112 a 3101_CAMP. REG)'!$F$5:$M$113,8,FALSE)</f>
        <v>201.98</v>
      </c>
      <c r="V99" s="72">
        <f>VLOOKUP(UNIFAEL.[[#This Row],[CURSO]],'[1]POS_VIVO_0112 a 3101_CAMP. REG)'!$F$5:$P$113,11,FALSE)</f>
        <v>0.35</v>
      </c>
      <c r="W99" s="73">
        <f>VLOOKUP(UNIFAEL.[[#This Row],[CURSO]],'[1]POS_VIVO_0112 a 3101_CAMP. REG)'!$F$5:$Q$113,12,FALSE)</f>
        <v>187.55</v>
      </c>
      <c r="X99" s="75">
        <f>UNIFAEL.[[#This Row],[Nº Parcelas]]</f>
        <v>19</v>
      </c>
      <c r="Y99" s="75">
        <f>UNIFAEL.[[#This Row],[Nº Parcelas normal2]]-1</f>
        <v>18</v>
      </c>
      <c r="Z99" s="73">
        <f>UNIFAEL.[[#This Row],[$ NORMAL]]</f>
        <v>320.59937400000007</v>
      </c>
      <c r="AA99" s="72">
        <f>UNIFAEL.[[#This Row],[%  SITE]]</f>
        <v>0.3</v>
      </c>
      <c r="AB99" s="73">
        <f>UNIFAEL.[[#This Row],[$ SITE]]</f>
        <v>201.98</v>
      </c>
      <c r="AC99" s="72">
        <f>UNIFAEL.[[#This Row],[%  SGP]]</f>
        <v>0.35</v>
      </c>
      <c r="AD99" s="73">
        <f>UNIFAEL.[[#This Row],[$ SGP]]</f>
        <v>187.55</v>
      </c>
      <c r="AE99" s="69" t="s">
        <v>371</v>
      </c>
      <c r="AF99" s="69" t="s">
        <v>372</v>
      </c>
      <c r="AH99" s="121" t="s">
        <v>281</v>
      </c>
      <c r="AI99" s="69" t="s">
        <v>19</v>
      </c>
      <c r="AJ99" s="69" t="str">
        <f>VLOOKUP(UNAMA.[[#This Row],[PARCELA MATRICULA NÃO PAGA]],'[1]POS_VIVO_0112 a 3101_CAMP. REG)'!$F$115:$G$222,2,FALSE)</f>
        <v>Gestão</v>
      </c>
      <c r="AK99" s="69">
        <f>VLOOKUP(UNAMA.[[#This Row],[PARCELA MATRICULA NÃO PAGA]],'[1]POS_VIVO_0112 a 3101_CAMP. REG)'!$F$115:$H$222,3,FALSE)</f>
        <v>15</v>
      </c>
      <c r="AL99" s="69">
        <f>VLOOKUP(UNAMA.[[#This Row],[PARCELA MATRICULA NÃO PAGA]],'[1]POS_VIVO_0112 a 3101_CAMP. REG)'!$F$115:$I$222,4,FALSE)</f>
        <v>19</v>
      </c>
      <c r="AM99" s="71">
        <f>VLOOKUP(UNAMA.[[#This Row],[PARCELA MATRICULA NÃO PAGA]],'[1]POS_VIVO_0112 a 3101_CAMP. REG)'!$F$115:$J$222,5,FALSE)</f>
        <v>352.66770900000006</v>
      </c>
      <c r="AN99" s="123">
        <f>VLOOKUP(UNAMA.[[#This Row],[PARCELA MATRICULA NÃO PAGA]],'[1]POS_VIVO_0112 a 3101_CAMP. REG)'!$F$115:$L$222,7,FALSE)</f>
        <v>0.3</v>
      </c>
      <c r="AO99" s="73">
        <f>VLOOKUP(UNAMA.[[#This Row],[PARCELA MATRICULA NÃO PAGA]],'[1]POS_VIVO_0112 a 3101_CAMP. REG)'!$F$115:$M$222,8,FALSE)</f>
        <v>222.18</v>
      </c>
      <c r="AP99" s="72">
        <f>VLOOKUP(UNAMA.[[#This Row],[PARCELA MATRICULA NÃO PAGA]],'[1]POS_VIVO_0112 a 3101_CAMP. REG)'!$F$115:$P$222,11,FALSE)</f>
        <v>0.35</v>
      </c>
      <c r="AQ99" s="73">
        <f>VLOOKUP(UNAMA.[[#This Row],[PARCELA MATRICULA NÃO PAGA]],'[1]POS_VIVO_0112 a 3101_CAMP. REG)'!$F$115:$Q$222,12,FALSE)</f>
        <v>206.31</v>
      </c>
      <c r="AR99" s="68">
        <f>UNAMA.[[#This Row],[Nº Parcelas]]</f>
        <v>19</v>
      </c>
      <c r="AS99" s="68">
        <f>UNAMA.[[#This Row],[Nº Parcelas normal2]]-1</f>
        <v>18</v>
      </c>
      <c r="AT99" s="71">
        <f>UNAMA.[[#This Row],[$ NORMAL]]</f>
        <v>352.66770900000006</v>
      </c>
      <c r="AU99" s="162">
        <f>UNAMA.[[#This Row],[%  SITE]]</f>
        <v>0.3</v>
      </c>
      <c r="AV99" s="161">
        <f>UNAMA.[[#This Row],[$ SITE]]</f>
        <v>222.18</v>
      </c>
      <c r="AW99" s="162">
        <f>UNAMA.[[#This Row],[%  SGP]]</f>
        <v>0.35</v>
      </c>
      <c r="AX99" s="161">
        <f>UNAMA.[[#This Row],[$ SGP]]</f>
        <v>206.31</v>
      </c>
      <c r="AY99" s="69" t="s">
        <v>351</v>
      </c>
      <c r="AZ99" s="69" t="s">
        <v>372</v>
      </c>
      <c r="BB99" s="121" t="s">
        <v>281</v>
      </c>
      <c r="BC99" s="69" t="s">
        <v>19</v>
      </c>
      <c r="BD99" s="68" t="str">
        <f>VLOOKUP(UNG.[[#This Row],[CURSO]],'[1]POS_VIVO_0112 a 3101_CAMP. REG)'!$F$224:$G$331,2,FALSE)</f>
        <v>Gestão</v>
      </c>
      <c r="BE99" s="70">
        <f>VLOOKUP(UNG.[[#This Row],[CURSO]],'[1]POS_VIVO_0112 a 3101_CAMP. REG)'!$F$224:$H$331,3,FALSE)</f>
        <v>15</v>
      </c>
      <c r="BF99" s="70">
        <f>VLOOKUP(UNG.[[#This Row],[CURSO]],'[1]POS_VIVO_0112 a 3101_CAMP. REG)'!$F$224:$I$331,4,FALSE)</f>
        <v>19</v>
      </c>
      <c r="BG99" s="73">
        <f>VLOOKUP(UNG.[[#This Row],[CURSO]],'[1]POS_VIVO_0112 a 3101_CAMP. REG)'!$F$224:$J$331,5,FALSE)</f>
        <v>320.59937400000007</v>
      </c>
      <c r="BH99" s="72">
        <f>VLOOKUP(UNG.[[#This Row],[CURSO]],'[1]POS_VIVO_0112 a 3101_CAMP. REG)'!$F$224:$L$331,7,FALSE)</f>
        <v>0.3</v>
      </c>
      <c r="BI99" s="73">
        <f>VLOOKUP(UNG.[[#This Row],[CURSO]],'[1]POS_VIVO_0112 a 3101_CAMP. REG)'!$F$224:$M$331,8,FALSE)</f>
        <v>201.98</v>
      </c>
      <c r="BJ99" s="72">
        <f>VLOOKUP(UNG.[[#This Row],[CURSO]],'[1]POS_VIVO_0112 a 3101_CAMP. REG)'!$F$224:$P$331,11,FALSE)</f>
        <v>0.35</v>
      </c>
      <c r="BK99" s="73">
        <f>VLOOKUP(UNG.[[#This Row],[CURSO]],'[1]POS_VIVO_0112 a 3101_CAMP. REG)'!$F$224:$Q$331,12,FALSE)</f>
        <v>187.55</v>
      </c>
      <c r="BL99" s="75">
        <f>UNG.[[#This Row],[Nº Parcelas]]</f>
        <v>19</v>
      </c>
      <c r="BM99" s="75">
        <f>UNG.[[#This Row],[Nº Parcelas normal2]]-1</f>
        <v>18</v>
      </c>
      <c r="BN99" s="73">
        <f>UNG.[[#This Row],[$ NORMAL]]</f>
        <v>320.59937400000007</v>
      </c>
      <c r="BO99" s="72">
        <f>UNG.[[#This Row],[%  SITE]]</f>
        <v>0.3</v>
      </c>
      <c r="BP99" s="73">
        <f>UNG.[[#This Row],[$ SITE]]</f>
        <v>201.98</v>
      </c>
      <c r="BQ99" s="72">
        <f>UNG.[[#This Row],[%  SGP]]</f>
        <v>0.35</v>
      </c>
      <c r="BR99" s="73">
        <f>UNG.[[#This Row],[$ SGP]]</f>
        <v>187.55</v>
      </c>
      <c r="BS99" s="69" t="s">
        <v>351</v>
      </c>
      <c r="BT99" s="69" t="s">
        <v>372</v>
      </c>
      <c r="BV99" s="121" t="s">
        <v>281</v>
      </c>
      <c r="BW99" s="69" t="s">
        <v>19</v>
      </c>
      <c r="BX99" s="69" t="str">
        <f>VLOOKUP(UNINASSAU.[[#This Row],[CURSO]],'[1]POS_VIVO_0112 a 3101_CAMP. REG)'!$F$333:$G$447,2,FALSE)</f>
        <v>Gestão</v>
      </c>
      <c r="BY99" s="68">
        <f>VLOOKUP(UNINASSAU.[[#This Row],[CURSO]],'[1]POS_VIVO_0112 a 3101_CAMP. REG)'!$F$333:$H$447,3,FALSE)</f>
        <v>15</v>
      </c>
      <c r="BZ99" s="68">
        <f>VLOOKUP(UNINASSAU.[[#This Row],[CURSO]],'[1]POS_VIVO_0112 a 3101_CAMP. REG)'!$F$333:$I$447,4,FALSE)</f>
        <v>19</v>
      </c>
      <c r="CA99" s="73">
        <f>VLOOKUP(UNINASSAU.[[#This Row],[CURSO]],'[1]POS_VIVO_0112 a 3101_CAMP. REG)'!$F$333:$J$447,5,FALSE)</f>
        <v>320.59937400000007</v>
      </c>
      <c r="CB99" s="72">
        <f>VLOOKUP(UNINASSAU.[[#This Row],[CURSO]],'[1]POS_VIVO_0112 a 3101_CAMP. REG)'!$F$333:$L$447,7,FALSE)</f>
        <v>0.3</v>
      </c>
      <c r="CC99" s="73">
        <f>VLOOKUP(UNINASSAU.[[#This Row],[CURSO]],'[1]POS_VIVO_0112 a 3101_CAMP. REG)'!$F$333:$M$447,8,FALSE)</f>
        <v>201.98</v>
      </c>
      <c r="CD99" s="72">
        <f>VLOOKUP(UNINASSAU.[[#This Row],[CURSO]],'[1]POS_VIVO_0112 a 3101_CAMP. REG)'!$F$333:$P$447,11,FALSE)</f>
        <v>0.35</v>
      </c>
      <c r="CE99" s="73">
        <f>VLOOKUP(UNINASSAU.[[#This Row],[CURSO]],'[1]POS_VIVO_0112 a 3101_CAMP. REG)'!$F$333:$Q$447,12,FALSE)</f>
        <v>187.55</v>
      </c>
      <c r="CM99" s="69"/>
      <c r="CN99" s="69"/>
      <c r="CP99" s="104">
        <v>96</v>
      </c>
      <c r="CQ99" s="121" t="s">
        <v>327</v>
      </c>
    </row>
    <row r="100" spans="14:95" ht="16.5" customHeight="1" x14ac:dyDescent="0.25">
      <c r="N100" s="121" t="s">
        <v>307</v>
      </c>
      <c r="O100" s="69" t="s">
        <v>19</v>
      </c>
      <c r="P100" s="69" t="str">
        <f>VLOOKUP(UNIFAEL.[[#This Row],[CURSO]],'[1]POS_VIVO_0112 a 3101_CAMP. REG)'!$F$5:$G$113,2,FALSE)</f>
        <v>Saúde</v>
      </c>
      <c r="Q100" s="68">
        <f>VLOOKUP(UNIFAEL.[[#This Row],[CURSO]],'[1]POS_VIVO_0112 a 3101_CAMP. REG)'!$F$5:$H$113,3,FALSE)</f>
        <v>12</v>
      </c>
      <c r="R100" s="68">
        <f>VLOOKUP(UNIFAEL.[[#This Row],[CURSO]],'[1]POS_VIVO_0112 a 3101_CAMP. REG)'!$F$5:$I$113,4,FALSE)</f>
        <v>19</v>
      </c>
      <c r="S100" s="73">
        <f>VLOOKUP(UNIFAEL.[[#This Row],[CURSO]],'[1]POS_VIVO_0112 a 3101_CAMP. REG)'!$F$5:$J$113,5,FALSE)</f>
        <v>291.43870800000002</v>
      </c>
      <c r="T100" s="124">
        <f>VLOOKUP(UNIFAEL.[[#This Row],[CURSO]],'[1]POS_VIVO_0112 a 3101_CAMP. REG)'!$F$5:$L$113,7,FALSE)</f>
        <v>0.3</v>
      </c>
      <c r="U100" s="71">
        <f>VLOOKUP(UNIFAEL.[[#This Row],[CURSO]],'[1]POS_VIVO_0112 a 3101_CAMP. REG)'!$F$5:$M$113,8,FALSE)</f>
        <v>183.61</v>
      </c>
      <c r="V100" s="72">
        <f>VLOOKUP(UNIFAEL.[[#This Row],[CURSO]],'[1]POS_VIVO_0112 a 3101_CAMP. REG)'!$F$5:$P$113,11,FALSE)</f>
        <v>0.35</v>
      </c>
      <c r="W100" s="73">
        <f>VLOOKUP(UNIFAEL.[[#This Row],[CURSO]],'[1]POS_VIVO_0112 a 3101_CAMP. REG)'!$F$5:$Q$113,12,FALSE)</f>
        <v>170.49</v>
      </c>
      <c r="X100" s="75">
        <f>UNIFAEL.[[#This Row],[Nº Parcelas]]</f>
        <v>19</v>
      </c>
      <c r="Y100" s="75">
        <f>UNIFAEL.[[#This Row],[Nº Parcelas normal2]]-1</f>
        <v>18</v>
      </c>
      <c r="Z100" s="73">
        <f>UNIFAEL.[[#This Row],[$ NORMAL]]</f>
        <v>291.43870800000002</v>
      </c>
      <c r="AA100" s="72">
        <f>UNIFAEL.[[#This Row],[%  SITE]]</f>
        <v>0.3</v>
      </c>
      <c r="AB100" s="73">
        <f>UNIFAEL.[[#This Row],[$ SITE]]</f>
        <v>183.61</v>
      </c>
      <c r="AC100" s="72">
        <f>UNIFAEL.[[#This Row],[%  SGP]]</f>
        <v>0.35</v>
      </c>
      <c r="AD100" s="73">
        <f>UNIFAEL.[[#This Row],[$ SGP]]</f>
        <v>170.49</v>
      </c>
      <c r="AE100" s="69" t="s">
        <v>371</v>
      </c>
      <c r="AF100" s="69" t="s">
        <v>372</v>
      </c>
      <c r="AH100" s="121" t="s">
        <v>307</v>
      </c>
      <c r="AI100" s="69" t="s">
        <v>19</v>
      </c>
      <c r="AJ100" s="69" t="str">
        <f>VLOOKUP(UNAMA.[[#This Row],[PARCELA MATRICULA NÃO PAGA]],'[1]POS_VIVO_0112 a 3101_CAMP. REG)'!$F$115:$G$222,2,FALSE)</f>
        <v>Saúde</v>
      </c>
      <c r="AK100" s="69">
        <f>VLOOKUP(UNAMA.[[#This Row],[PARCELA MATRICULA NÃO PAGA]],'[1]POS_VIVO_0112 a 3101_CAMP. REG)'!$F$115:$H$222,3,FALSE)</f>
        <v>12</v>
      </c>
      <c r="AL100" s="69">
        <f>VLOOKUP(UNAMA.[[#This Row],[PARCELA MATRICULA NÃO PAGA]],'[1]POS_VIVO_0112 a 3101_CAMP. REG)'!$F$115:$I$222,4,FALSE)</f>
        <v>19</v>
      </c>
      <c r="AM100" s="71">
        <f>VLOOKUP(UNAMA.[[#This Row],[PARCELA MATRICULA NÃO PAGA]],'[1]POS_VIVO_0112 a 3101_CAMP. REG)'!$F$115:$J$222,5,FALSE)</f>
        <v>320.59937400000007</v>
      </c>
      <c r="AN100" s="123">
        <f>VLOOKUP(UNAMA.[[#This Row],[PARCELA MATRICULA NÃO PAGA]],'[1]POS_VIVO_0112 a 3101_CAMP. REG)'!$F$115:$L$222,7,FALSE)</f>
        <v>0.3</v>
      </c>
      <c r="AO100" s="73">
        <f>VLOOKUP(UNAMA.[[#This Row],[PARCELA MATRICULA NÃO PAGA]],'[1]POS_VIVO_0112 a 3101_CAMP. REG)'!$F$115:$M$222,8,FALSE)</f>
        <v>201.98</v>
      </c>
      <c r="AP100" s="72">
        <f>VLOOKUP(UNAMA.[[#This Row],[PARCELA MATRICULA NÃO PAGA]],'[1]POS_VIVO_0112 a 3101_CAMP. REG)'!$F$115:$P$222,11,FALSE)</f>
        <v>0.35</v>
      </c>
      <c r="AQ100" s="73">
        <f>VLOOKUP(UNAMA.[[#This Row],[PARCELA MATRICULA NÃO PAGA]],'[1]POS_VIVO_0112 a 3101_CAMP. REG)'!$F$115:$Q$222,12,FALSE)</f>
        <v>187.55</v>
      </c>
      <c r="AR100" s="68">
        <f>UNAMA.[[#This Row],[Nº Parcelas]]</f>
        <v>19</v>
      </c>
      <c r="AS100" s="68">
        <f>UNAMA.[[#This Row],[Nº Parcelas normal2]]-1</f>
        <v>18</v>
      </c>
      <c r="AT100" s="71">
        <f>UNAMA.[[#This Row],[$ NORMAL]]</f>
        <v>320.59937400000007</v>
      </c>
      <c r="AU100" s="162">
        <f>UNAMA.[[#This Row],[%  SITE]]</f>
        <v>0.3</v>
      </c>
      <c r="AV100" s="161">
        <f>UNAMA.[[#This Row],[$ SITE]]</f>
        <v>201.98</v>
      </c>
      <c r="AW100" s="162">
        <f>UNAMA.[[#This Row],[%  SGP]]</f>
        <v>0.35</v>
      </c>
      <c r="AX100" s="161">
        <f>UNAMA.[[#This Row],[$ SGP]]</f>
        <v>187.55</v>
      </c>
      <c r="AY100" s="69" t="s">
        <v>351</v>
      </c>
      <c r="AZ100" s="69" t="s">
        <v>372</v>
      </c>
      <c r="BB100" s="121" t="s">
        <v>307</v>
      </c>
      <c r="BC100" s="69" t="s">
        <v>19</v>
      </c>
      <c r="BD100" s="68" t="str">
        <f>VLOOKUP(UNG.[[#This Row],[CURSO]],'[1]POS_VIVO_0112 a 3101_CAMP. REG)'!$F$224:$G$331,2,FALSE)</f>
        <v>Saúde</v>
      </c>
      <c r="BE100" s="70">
        <f>VLOOKUP(UNG.[[#This Row],[CURSO]],'[1]POS_VIVO_0112 a 3101_CAMP. REG)'!$F$224:$H$331,3,FALSE)</f>
        <v>12</v>
      </c>
      <c r="BF100" s="70">
        <f>VLOOKUP(UNG.[[#This Row],[CURSO]],'[1]POS_VIVO_0112 a 3101_CAMP. REG)'!$F$224:$I$331,4,FALSE)</f>
        <v>19</v>
      </c>
      <c r="BG100" s="73">
        <f>VLOOKUP(UNG.[[#This Row],[CURSO]],'[1]POS_VIVO_0112 a 3101_CAMP. REG)'!$F$224:$J$331,5,FALSE)</f>
        <v>291.43870800000002</v>
      </c>
      <c r="BH100" s="72">
        <f>VLOOKUP(UNG.[[#This Row],[CURSO]],'[1]POS_VIVO_0112 a 3101_CAMP. REG)'!$F$224:$L$331,7,FALSE)</f>
        <v>0.3</v>
      </c>
      <c r="BI100" s="73">
        <f>VLOOKUP(UNG.[[#This Row],[CURSO]],'[1]POS_VIVO_0112 a 3101_CAMP. REG)'!$F$224:$M$331,8,FALSE)</f>
        <v>183.61</v>
      </c>
      <c r="BJ100" s="72">
        <f>VLOOKUP(UNG.[[#This Row],[CURSO]],'[1]POS_VIVO_0112 a 3101_CAMP. REG)'!$F$224:$P$331,11,FALSE)</f>
        <v>0.35</v>
      </c>
      <c r="BK100" s="73">
        <f>VLOOKUP(UNG.[[#This Row],[CURSO]],'[1]POS_VIVO_0112 a 3101_CAMP. REG)'!$F$224:$Q$331,12,FALSE)</f>
        <v>170.49</v>
      </c>
      <c r="BL100" s="75">
        <f>UNG.[[#This Row],[Nº Parcelas]]</f>
        <v>19</v>
      </c>
      <c r="BM100" s="75">
        <f>UNG.[[#This Row],[Nº Parcelas normal2]]-1</f>
        <v>18</v>
      </c>
      <c r="BN100" s="73">
        <f>UNG.[[#This Row],[$ NORMAL]]</f>
        <v>291.43870800000002</v>
      </c>
      <c r="BO100" s="72">
        <f>UNG.[[#This Row],[%  SITE]]</f>
        <v>0.3</v>
      </c>
      <c r="BP100" s="73">
        <f>UNG.[[#This Row],[$ SITE]]</f>
        <v>183.61</v>
      </c>
      <c r="BQ100" s="72">
        <f>UNG.[[#This Row],[%  SGP]]</f>
        <v>0.35</v>
      </c>
      <c r="BR100" s="73">
        <f>UNG.[[#This Row],[$ SGP]]</f>
        <v>170.49</v>
      </c>
      <c r="BS100" s="69" t="s">
        <v>351</v>
      </c>
      <c r="BT100" s="69" t="s">
        <v>372</v>
      </c>
      <c r="BV100" s="121" t="s">
        <v>307</v>
      </c>
      <c r="BW100" s="69" t="s">
        <v>19</v>
      </c>
      <c r="BX100" s="69" t="str">
        <f>VLOOKUP(UNINASSAU.[[#This Row],[CURSO]],'[1]POS_VIVO_0112 a 3101_CAMP. REG)'!$F$333:$G$447,2,FALSE)</f>
        <v>Saúde</v>
      </c>
      <c r="BY100" s="68">
        <f>VLOOKUP(UNINASSAU.[[#This Row],[CURSO]],'[1]POS_VIVO_0112 a 3101_CAMP. REG)'!$F$333:$H$447,3,FALSE)</f>
        <v>12</v>
      </c>
      <c r="BZ100" s="68">
        <f>VLOOKUP(UNINASSAU.[[#This Row],[CURSO]],'[1]POS_VIVO_0112 a 3101_CAMP. REG)'!$F$333:$I$447,4,FALSE)</f>
        <v>19</v>
      </c>
      <c r="CA100" s="73">
        <f>VLOOKUP(UNINASSAU.[[#This Row],[CURSO]],'[1]POS_VIVO_0112 a 3101_CAMP. REG)'!$F$333:$J$447,5,FALSE)</f>
        <v>291.43870800000002</v>
      </c>
      <c r="CB100" s="72">
        <f>VLOOKUP(UNINASSAU.[[#This Row],[CURSO]],'[1]POS_VIVO_0112 a 3101_CAMP. REG)'!$F$333:$L$447,7,FALSE)</f>
        <v>0.3</v>
      </c>
      <c r="CC100" s="73">
        <f>VLOOKUP(UNINASSAU.[[#This Row],[CURSO]],'[1]POS_VIVO_0112 a 3101_CAMP. REG)'!$F$333:$M$447,8,FALSE)</f>
        <v>183.61</v>
      </c>
      <c r="CD100" s="72">
        <f>VLOOKUP(UNINASSAU.[[#This Row],[CURSO]],'[1]POS_VIVO_0112 a 3101_CAMP. REG)'!$F$333:$P$447,11,FALSE)</f>
        <v>0.35</v>
      </c>
      <c r="CE100" s="73">
        <f>VLOOKUP(UNINASSAU.[[#This Row],[CURSO]],'[1]POS_VIVO_0112 a 3101_CAMP. REG)'!$F$333:$Q$447,12,FALSE)</f>
        <v>170.49</v>
      </c>
      <c r="CM100" s="69"/>
      <c r="CN100" s="69"/>
      <c r="CP100" s="104">
        <v>97</v>
      </c>
      <c r="CQ100" s="121" t="s">
        <v>332</v>
      </c>
    </row>
    <row r="101" spans="14:95" ht="16.5" customHeight="1" x14ac:dyDescent="0.25">
      <c r="N101" s="121" t="s">
        <v>269</v>
      </c>
      <c r="O101" s="69" t="s">
        <v>19</v>
      </c>
      <c r="P101" s="69" t="str">
        <f>VLOOKUP(UNIFAEL.[[#This Row],[CURSO]],'[1]POS_VIVO_0112 a 3101_CAMP. REG)'!$F$5:$G$113,2,FALSE)</f>
        <v>Saúde</v>
      </c>
      <c r="Q101" s="68">
        <f>VLOOKUP(UNIFAEL.[[#This Row],[CURSO]],'[1]POS_VIVO_0112 a 3101_CAMP. REG)'!$F$5:$H$113,3,FALSE)</f>
        <v>12</v>
      </c>
      <c r="R101" s="68">
        <f>VLOOKUP(UNIFAEL.[[#This Row],[CURSO]],'[1]POS_VIVO_0112 a 3101_CAMP. REG)'!$F$5:$I$113,4,FALSE)</f>
        <v>19</v>
      </c>
      <c r="S101" s="73">
        <f>VLOOKUP(UNIFAEL.[[#This Row],[CURSO]],'[1]POS_VIVO_0112 a 3101_CAMP. REG)'!$F$5:$J$113,5,FALSE)</f>
        <v>291.43870800000002</v>
      </c>
      <c r="T101" s="124">
        <f>VLOOKUP(UNIFAEL.[[#This Row],[CURSO]],'[1]POS_VIVO_0112 a 3101_CAMP. REG)'!$F$5:$L$113,7,FALSE)</f>
        <v>0.5</v>
      </c>
      <c r="U101" s="71">
        <f>VLOOKUP(UNIFAEL.[[#This Row],[CURSO]],'[1]POS_VIVO_0112 a 3101_CAMP. REG)'!$F$5:$M$113,8,FALSE)</f>
        <v>131.15</v>
      </c>
      <c r="V101" s="72">
        <f>VLOOKUP(UNIFAEL.[[#This Row],[CURSO]],'[1]POS_VIVO_0112 a 3101_CAMP. REG)'!$F$5:$P$113,11,FALSE)</f>
        <v>0.55000000000000004</v>
      </c>
      <c r="W101" s="73">
        <f>VLOOKUP(UNIFAEL.[[#This Row],[CURSO]],'[1]POS_VIVO_0112 a 3101_CAMP. REG)'!$F$5:$Q$113,12,FALSE)</f>
        <v>118.03</v>
      </c>
      <c r="X101" s="75">
        <f>UNIFAEL.[[#This Row],[Nº Parcelas]]</f>
        <v>19</v>
      </c>
      <c r="Y101" s="75">
        <f>UNIFAEL.[[#This Row],[Nº Parcelas normal2]]-1</f>
        <v>18</v>
      </c>
      <c r="Z101" s="73">
        <f>UNIFAEL.[[#This Row],[$ NORMAL]]</f>
        <v>291.43870800000002</v>
      </c>
      <c r="AA101" s="72">
        <f>UNIFAEL.[[#This Row],[%  SITE]]</f>
        <v>0.5</v>
      </c>
      <c r="AB101" s="73">
        <f>UNIFAEL.[[#This Row],[$ SITE]]</f>
        <v>131.15</v>
      </c>
      <c r="AC101" s="72">
        <f>UNIFAEL.[[#This Row],[%  SGP]]</f>
        <v>0.55000000000000004</v>
      </c>
      <c r="AD101" s="73">
        <f>UNIFAEL.[[#This Row],[$ SGP]]</f>
        <v>118.03</v>
      </c>
      <c r="AE101" s="69" t="s">
        <v>371</v>
      </c>
      <c r="AF101" s="69" t="s">
        <v>372</v>
      </c>
      <c r="AH101" s="121" t="s">
        <v>269</v>
      </c>
      <c r="AI101" s="69" t="s">
        <v>19</v>
      </c>
      <c r="AJ101" s="69" t="str">
        <f>VLOOKUP(UNAMA.[[#This Row],[PARCELA MATRICULA NÃO PAGA]],'[1]POS_VIVO_0112 a 3101_CAMP. REG)'!$F$115:$G$222,2,FALSE)</f>
        <v>Saúde</v>
      </c>
      <c r="AK101" s="69">
        <f>VLOOKUP(UNAMA.[[#This Row],[PARCELA MATRICULA NÃO PAGA]],'[1]POS_VIVO_0112 a 3101_CAMP. REG)'!$F$115:$H$222,3,FALSE)</f>
        <v>12</v>
      </c>
      <c r="AL101" s="69">
        <f>VLOOKUP(UNAMA.[[#This Row],[PARCELA MATRICULA NÃO PAGA]],'[1]POS_VIVO_0112 a 3101_CAMP. REG)'!$F$115:$I$222,4,FALSE)</f>
        <v>19</v>
      </c>
      <c r="AM101" s="71">
        <f>VLOOKUP(UNAMA.[[#This Row],[PARCELA MATRICULA NÃO PAGA]],'[1]POS_VIVO_0112 a 3101_CAMP. REG)'!$F$115:$J$222,5,FALSE)</f>
        <v>320.59937400000007</v>
      </c>
      <c r="AN101" s="123">
        <f>VLOOKUP(UNAMA.[[#This Row],[PARCELA MATRICULA NÃO PAGA]],'[1]POS_VIVO_0112 a 3101_CAMP. REG)'!$F$115:$L$222,7,FALSE)</f>
        <v>0.5</v>
      </c>
      <c r="AO101" s="73">
        <f>VLOOKUP(UNAMA.[[#This Row],[PARCELA MATRICULA NÃO PAGA]],'[1]POS_VIVO_0112 a 3101_CAMP. REG)'!$F$115:$M$222,8,FALSE)</f>
        <v>144.27000000000001</v>
      </c>
      <c r="AP101" s="72">
        <f>VLOOKUP(UNAMA.[[#This Row],[PARCELA MATRICULA NÃO PAGA]],'[1]POS_VIVO_0112 a 3101_CAMP. REG)'!$F$115:$P$222,11,FALSE)</f>
        <v>0.55000000000000004</v>
      </c>
      <c r="AQ101" s="73">
        <f>VLOOKUP(UNAMA.[[#This Row],[PARCELA MATRICULA NÃO PAGA]],'[1]POS_VIVO_0112 a 3101_CAMP. REG)'!$F$115:$Q$222,12,FALSE)</f>
        <v>129.84</v>
      </c>
      <c r="AR101" s="68">
        <f>UNAMA.[[#This Row],[Nº Parcelas]]</f>
        <v>19</v>
      </c>
      <c r="AS101" s="68">
        <f>UNAMA.[[#This Row],[Nº Parcelas normal2]]-1</f>
        <v>18</v>
      </c>
      <c r="AT101" s="71">
        <f>UNAMA.[[#This Row],[$ NORMAL]]</f>
        <v>320.59937400000007</v>
      </c>
      <c r="AU101" s="162">
        <f>UNAMA.[[#This Row],[%  SITE]]</f>
        <v>0.5</v>
      </c>
      <c r="AV101" s="161">
        <f>UNAMA.[[#This Row],[$ SITE]]</f>
        <v>144.27000000000001</v>
      </c>
      <c r="AW101" s="162">
        <f>UNAMA.[[#This Row],[%  SGP]]</f>
        <v>0.55000000000000004</v>
      </c>
      <c r="AX101" s="161">
        <f>UNAMA.[[#This Row],[$ SGP]]</f>
        <v>129.84</v>
      </c>
      <c r="AY101" s="69" t="s">
        <v>351</v>
      </c>
      <c r="AZ101" s="69" t="s">
        <v>372</v>
      </c>
      <c r="BB101" s="121" t="s">
        <v>269</v>
      </c>
      <c r="BC101" s="69" t="s">
        <v>19</v>
      </c>
      <c r="BD101" s="68" t="str">
        <f>VLOOKUP(UNG.[[#This Row],[CURSO]],'[1]POS_VIVO_0112 a 3101_CAMP. REG)'!$F$224:$G$331,2,FALSE)</f>
        <v>Saúde</v>
      </c>
      <c r="BE101" s="70">
        <f>VLOOKUP(UNG.[[#This Row],[CURSO]],'[1]POS_VIVO_0112 a 3101_CAMP. REG)'!$F$224:$H$331,3,FALSE)</f>
        <v>12</v>
      </c>
      <c r="BF101" s="70">
        <f>VLOOKUP(UNG.[[#This Row],[CURSO]],'[1]POS_VIVO_0112 a 3101_CAMP. REG)'!$F$224:$I$331,4,FALSE)</f>
        <v>19</v>
      </c>
      <c r="BG101" s="73">
        <f>VLOOKUP(UNG.[[#This Row],[CURSO]],'[1]POS_VIVO_0112 a 3101_CAMP. REG)'!$F$224:$J$331,5,FALSE)</f>
        <v>291.43870800000002</v>
      </c>
      <c r="BH101" s="72">
        <f>VLOOKUP(UNG.[[#This Row],[CURSO]],'[1]POS_VIVO_0112 a 3101_CAMP. REG)'!$F$224:$L$331,7,FALSE)</f>
        <v>0.5</v>
      </c>
      <c r="BI101" s="73">
        <f>VLOOKUP(UNG.[[#This Row],[CURSO]],'[1]POS_VIVO_0112 a 3101_CAMP. REG)'!$F$224:$M$331,8,FALSE)</f>
        <v>131.15</v>
      </c>
      <c r="BJ101" s="72">
        <f>VLOOKUP(UNG.[[#This Row],[CURSO]],'[1]POS_VIVO_0112 a 3101_CAMP. REG)'!$F$224:$P$331,11,FALSE)</f>
        <v>0.55000000000000004</v>
      </c>
      <c r="BK101" s="73">
        <f>VLOOKUP(UNG.[[#This Row],[CURSO]],'[1]POS_VIVO_0112 a 3101_CAMP. REG)'!$F$224:$Q$331,12,FALSE)</f>
        <v>118.03</v>
      </c>
      <c r="BL101" s="75">
        <f>UNG.[[#This Row],[Nº Parcelas]]</f>
        <v>19</v>
      </c>
      <c r="BM101" s="75">
        <f>UNG.[[#This Row],[Nº Parcelas normal2]]-1</f>
        <v>18</v>
      </c>
      <c r="BN101" s="73">
        <f>UNG.[[#This Row],[$ NORMAL]]</f>
        <v>291.43870800000002</v>
      </c>
      <c r="BO101" s="72">
        <f>UNG.[[#This Row],[%  SITE]]</f>
        <v>0.5</v>
      </c>
      <c r="BP101" s="73">
        <f>UNG.[[#This Row],[$ SITE]]</f>
        <v>131.15</v>
      </c>
      <c r="BQ101" s="72">
        <f>UNG.[[#This Row],[%  SGP]]</f>
        <v>0.55000000000000004</v>
      </c>
      <c r="BR101" s="73">
        <f>UNG.[[#This Row],[$ SGP]]</f>
        <v>118.03</v>
      </c>
      <c r="BS101" s="69" t="s">
        <v>351</v>
      </c>
      <c r="BT101" s="69" t="s">
        <v>372</v>
      </c>
      <c r="BV101" s="121" t="s">
        <v>269</v>
      </c>
      <c r="BW101" s="69" t="s">
        <v>19</v>
      </c>
      <c r="BX101" s="69" t="str">
        <f>VLOOKUP(UNINASSAU.[[#This Row],[CURSO]],'[1]POS_VIVO_0112 a 3101_CAMP. REG)'!$F$333:$G$447,2,FALSE)</f>
        <v>Saúde</v>
      </c>
      <c r="BY101" s="68">
        <f>VLOOKUP(UNINASSAU.[[#This Row],[CURSO]],'[1]POS_VIVO_0112 a 3101_CAMP. REG)'!$F$333:$H$447,3,FALSE)</f>
        <v>12</v>
      </c>
      <c r="BZ101" s="68">
        <f>VLOOKUP(UNINASSAU.[[#This Row],[CURSO]],'[1]POS_VIVO_0112 a 3101_CAMP. REG)'!$F$333:$I$447,4,FALSE)</f>
        <v>19</v>
      </c>
      <c r="CA101" s="73">
        <f>VLOOKUP(UNINASSAU.[[#This Row],[CURSO]],'[1]POS_VIVO_0112 a 3101_CAMP. REG)'!$F$333:$J$447,5,FALSE)</f>
        <v>291.43870800000002</v>
      </c>
      <c r="CB101" s="72">
        <f>VLOOKUP(UNINASSAU.[[#This Row],[CURSO]],'[1]POS_VIVO_0112 a 3101_CAMP. REG)'!$F$333:$L$447,7,FALSE)</f>
        <v>0.5</v>
      </c>
      <c r="CC101" s="73">
        <f>VLOOKUP(UNINASSAU.[[#This Row],[CURSO]],'[1]POS_VIVO_0112 a 3101_CAMP. REG)'!$F$333:$M$447,8,FALSE)</f>
        <v>131.15</v>
      </c>
      <c r="CD101" s="72">
        <f>VLOOKUP(UNINASSAU.[[#This Row],[CURSO]],'[1]POS_VIVO_0112 a 3101_CAMP. REG)'!$F$333:$P$447,11,FALSE)</f>
        <v>0.55000000000000004</v>
      </c>
      <c r="CE101" s="73">
        <f>VLOOKUP(UNINASSAU.[[#This Row],[CURSO]],'[1]POS_VIVO_0112 a 3101_CAMP. REG)'!$F$333:$Q$447,12,FALSE)</f>
        <v>118.03</v>
      </c>
      <c r="CM101" s="69"/>
      <c r="CN101" s="69"/>
      <c r="CP101" s="104">
        <v>98</v>
      </c>
      <c r="CQ101" s="121" t="s">
        <v>326</v>
      </c>
    </row>
    <row r="102" spans="14:95" ht="16.5" customHeight="1" x14ac:dyDescent="0.25">
      <c r="N102" s="121" t="s">
        <v>282</v>
      </c>
      <c r="O102" s="69" t="s">
        <v>19</v>
      </c>
      <c r="P102" s="69" t="str">
        <f>VLOOKUP(UNIFAEL.[[#This Row],[CURSO]],'[1]POS_VIVO_0112 a 3101_CAMP. REG)'!$F$5:$G$113,2,FALSE)</f>
        <v>Direito</v>
      </c>
      <c r="Q102" s="68">
        <f>VLOOKUP(UNIFAEL.[[#This Row],[CURSO]],'[1]POS_VIVO_0112 a 3101_CAMP. REG)'!$F$5:$H$113,3,FALSE)</f>
        <v>12</v>
      </c>
      <c r="R102" s="68">
        <f>VLOOKUP(UNIFAEL.[[#This Row],[CURSO]],'[1]POS_VIVO_0112 a 3101_CAMP. REG)'!$F$5:$I$113,4,FALSE)</f>
        <v>19</v>
      </c>
      <c r="S102" s="73">
        <f>VLOOKUP(UNIFAEL.[[#This Row],[CURSO]],'[1]POS_VIVO_0112 a 3101_CAMP. REG)'!$F$5:$J$113,5,FALSE)</f>
        <v>262.27804200000003</v>
      </c>
      <c r="T102" s="124">
        <f>VLOOKUP(UNIFAEL.[[#This Row],[CURSO]],'[1]POS_VIVO_0112 a 3101_CAMP. REG)'!$F$5:$L$113,7,FALSE)</f>
        <v>0.5</v>
      </c>
      <c r="U102" s="71">
        <f>VLOOKUP(UNIFAEL.[[#This Row],[CURSO]],'[1]POS_VIVO_0112 a 3101_CAMP. REG)'!$F$5:$M$113,8,FALSE)</f>
        <v>118.03</v>
      </c>
      <c r="V102" s="72">
        <f>VLOOKUP(UNIFAEL.[[#This Row],[CURSO]],'[1]POS_VIVO_0112 a 3101_CAMP. REG)'!$F$5:$P$113,11,FALSE)</f>
        <v>0.55000000000000004</v>
      </c>
      <c r="W102" s="73">
        <f>VLOOKUP(UNIFAEL.[[#This Row],[CURSO]],'[1]POS_VIVO_0112 a 3101_CAMP. REG)'!$F$5:$Q$113,12,FALSE)</f>
        <v>106.22</v>
      </c>
      <c r="X102" s="75">
        <f>UNIFAEL.[[#This Row],[Nº Parcelas]]</f>
        <v>19</v>
      </c>
      <c r="Y102" s="75">
        <f>UNIFAEL.[[#This Row],[Nº Parcelas normal2]]-1</f>
        <v>18</v>
      </c>
      <c r="Z102" s="73">
        <f>UNIFAEL.[[#This Row],[$ NORMAL]]</f>
        <v>262.27804200000003</v>
      </c>
      <c r="AA102" s="72">
        <f>UNIFAEL.[[#This Row],[%  SITE]]</f>
        <v>0.5</v>
      </c>
      <c r="AB102" s="73">
        <f>UNIFAEL.[[#This Row],[$ SITE]]</f>
        <v>118.03</v>
      </c>
      <c r="AC102" s="72">
        <f>UNIFAEL.[[#This Row],[%  SGP]]</f>
        <v>0.55000000000000004</v>
      </c>
      <c r="AD102" s="73">
        <f>UNIFAEL.[[#This Row],[$ SGP]]</f>
        <v>106.22</v>
      </c>
      <c r="AE102" s="69" t="s">
        <v>371</v>
      </c>
      <c r="AF102" s="69" t="s">
        <v>372</v>
      </c>
      <c r="AH102" s="121" t="s">
        <v>282</v>
      </c>
      <c r="AI102" s="69" t="s">
        <v>19</v>
      </c>
      <c r="AJ102" s="69" t="str">
        <f>VLOOKUP(UNAMA.[[#This Row],[PARCELA MATRICULA NÃO PAGA]],'[1]POS_VIVO_0112 a 3101_CAMP. REG)'!$F$115:$G$222,2,FALSE)</f>
        <v>Direito</v>
      </c>
      <c r="AK102" s="69">
        <f>VLOOKUP(UNAMA.[[#This Row],[PARCELA MATRICULA NÃO PAGA]],'[1]POS_VIVO_0112 a 3101_CAMP. REG)'!$F$115:$H$222,3,FALSE)</f>
        <v>12</v>
      </c>
      <c r="AL102" s="69">
        <f>VLOOKUP(UNAMA.[[#This Row],[PARCELA MATRICULA NÃO PAGA]],'[1]POS_VIVO_0112 a 3101_CAMP. REG)'!$F$115:$I$222,4,FALSE)</f>
        <v>19</v>
      </c>
      <c r="AM102" s="71">
        <f>VLOOKUP(UNAMA.[[#This Row],[PARCELA MATRICULA NÃO PAGA]],'[1]POS_VIVO_0112 a 3101_CAMP. REG)'!$F$115:$J$222,5,FALSE)</f>
        <v>291.43870800000002</v>
      </c>
      <c r="AN102" s="123">
        <f>VLOOKUP(UNAMA.[[#This Row],[PARCELA MATRICULA NÃO PAGA]],'[1]POS_VIVO_0112 a 3101_CAMP. REG)'!$F$115:$L$222,7,FALSE)</f>
        <v>0.5</v>
      </c>
      <c r="AO102" s="73">
        <f>VLOOKUP(UNAMA.[[#This Row],[PARCELA MATRICULA NÃO PAGA]],'[1]POS_VIVO_0112 a 3101_CAMP. REG)'!$F$115:$M$222,8,FALSE)</f>
        <v>131.15</v>
      </c>
      <c r="AP102" s="72">
        <f>VLOOKUP(UNAMA.[[#This Row],[PARCELA MATRICULA NÃO PAGA]],'[1]POS_VIVO_0112 a 3101_CAMP. REG)'!$F$115:$P$222,11,FALSE)</f>
        <v>0.55000000000000004</v>
      </c>
      <c r="AQ102" s="73">
        <f>VLOOKUP(UNAMA.[[#This Row],[PARCELA MATRICULA NÃO PAGA]],'[1]POS_VIVO_0112 a 3101_CAMP. REG)'!$F$115:$Q$222,12,FALSE)</f>
        <v>118.03</v>
      </c>
      <c r="AR102" s="68">
        <f>UNAMA.[[#This Row],[Nº Parcelas]]</f>
        <v>19</v>
      </c>
      <c r="AS102" s="68">
        <f>UNAMA.[[#This Row],[Nº Parcelas normal2]]-1</f>
        <v>18</v>
      </c>
      <c r="AT102" s="71">
        <f>UNAMA.[[#This Row],[$ NORMAL]]</f>
        <v>291.43870800000002</v>
      </c>
      <c r="AU102" s="162">
        <f>UNAMA.[[#This Row],[%  SITE]]</f>
        <v>0.5</v>
      </c>
      <c r="AV102" s="161">
        <f>UNAMA.[[#This Row],[$ SITE]]</f>
        <v>131.15</v>
      </c>
      <c r="AW102" s="162">
        <f>UNAMA.[[#This Row],[%  SGP]]</f>
        <v>0.55000000000000004</v>
      </c>
      <c r="AX102" s="161">
        <f>UNAMA.[[#This Row],[$ SGP]]</f>
        <v>118.03</v>
      </c>
      <c r="AY102" s="69" t="s">
        <v>351</v>
      </c>
      <c r="AZ102" s="69" t="s">
        <v>372</v>
      </c>
      <c r="BB102" s="121" t="s">
        <v>282</v>
      </c>
      <c r="BC102" s="69" t="s">
        <v>19</v>
      </c>
      <c r="BD102" s="68" t="str">
        <f>VLOOKUP(UNG.[[#This Row],[CURSO]],'[1]POS_VIVO_0112 a 3101_CAMP. REG)'!$F$224:$G$331,2,FALSE)</f>
        <v>Direito</v>
      </c>
      <c r="BE102" s="70">
        <f>VLOOKUP(UNG.[[#This Row],[CURSO]],'[1]POS_VIVO_0112 a 3101_CAMP. REG)'!$F$224:$H$331,3,FALSE)</f>
        <v>12</v>
      </c>
      <c r="BF102" s="70">
        <f>VLOOKUP(UNG.[[#This Row],[CURSO]],'[1]POS_VIVO_0112 a 3101_CAMP. REG)'!$F$224:$I$331,4,FALSE)</f>
        <v>19</v>
      </c>
      <c r="BG102" s="73">
        <f>VLOOKUP(UNG.[[#This Row],[CURSO]],'[1]POS_VIVO_0112 a 3101_CAMP. REG)'!$F$224:$J$331,5,FALSE)</f>
        <v>262.27804200000003</v>
      </c>
      <c r="BH102" s="72">
        <f>VLOOKUP(UNG.[[#This Row],[CURSO]],'[1]POS_VIVO_0112 a 3101_CAMP. REG)'!$F$224:$L$331,7,FALSE)</f>
        <v>0.5</v>
      </c>
      <c r="BI102" s="73">
        <f>VLOOKUP(UNG.[[#This Row],[CURSO]],'[1]POS_VIVO_0112 a 3101_CAMP. REG)'!$F$224:$M$331,8,FALSE)</f>
        <v>118.03</v>
      </c>
      <c r="BJ102" s="72">
        <f>VLOOKUP(UNG.[[#This Row],[CURSO]],'[1]POS_VIVO_0112 a 3101_CAMP. REG)'!$F$224:$P$331,11,FALSE)</f>
        <v>0.55000000000000004</v>
      </c>
      <c r="BK102" s="73">
        <f>VLOOKUP(UNG.[[#This Row],[CURSO]],'[1]POS_VIVO_0112 a 3101_CAMP. REG)'!$F$224:$Q$331,12,FALSE)</f>
        <v>106.22</v>
      </c>
      <c r="BL102" s="75">
        <f>UNG.[[#This Row],[Nº Parcelas]]</f>
        <v>19</v>
      </c>
      <c r="BM102" s="75">
        <f>UNG.[[#This Row],[Nº Parcelas normal2]]-1</f>
        <v>18</v>
      </c>
      <c r="BN102" s="73">
        <f>UNG.[[#This Row],[$ NORMAL]]</f>
        <v>262.27804200000003</v>
      </c>
      <c r="BO102" s="72">
        <f>UNG.[[#This Row],[%  SITE]]</f>
        <v>0.5</v>
      </c>
      <c r="BP102" s="73">
        <f>UNG.[[#This Row],[$ SITE]]</f>
        <v>118.03</v>
      </c>
      <c r="BQ102" s="72">
        <f>UNG.[[#This Row],[%  SGP]]</f>
        <v>0.55000000000000004</v>
      </c>
      <c r="BR102" s="73">
        <f>UNG.[[#This Row],[$ SGP]]</f>
        <v>106.22</v>
      </c>
      <c r="BS102" s="69" t="s">
        <v>351</v>
      </c>
      <c r="BT102" s="69" t="s">
        <v>372</v>
      </c>
      <c r="BV102" s="121" t="s">
        <v>282</v>
      </c>
      <c r="BW102" s="69" t="s">
        <v>19</v>
      </c>
      <c r="BX102" s="69" t="str">
        <f>VLOOKUP(UNINASSAU.[[#This Row],[CURSO]],'[1]POS_VIVO_0112 a 3101_CAMP. REG)'!$F$333:$G$447,2,FALSE)</f>
        <v>Direito</v>
      </c>
      <c r="BY102" s="68">
        <f>VLOOKUP(UNINASSAU.[[#This Row],[CURSO]],'[1]POS_VIVO_0112 a 3101_CAMP. REG)'!$F$333:$H$447,3,FALSE)</f>
        <v>12</v>
      </c>
      <c r="BZ102" s="68">
        <f>VLOOKUP(UNINASSAU.[[#This Row],[CURSO]],'[1]POS_VIVO_0112 a 3101_CAMP. REG)'!$F$333:$I$447,4,FALSE)</f>
        <v>19</v>
      </c>
      <c r="CA102" s="73">
        <f>VLOOKUP(UNINASSAU.[[#This Row],[CURSO]],'[1]POS_VIVO_0112 a 3101_CAMP. REG)'!$F$333:$J$447,5,FALSE)</f>
        <v>262.27804200000003</v>
      </c>
      <c r="CB102" s="72">
        <f>VLOOKUP(UNINASSAU.[[#This Row],[CURSO]],'[1]POS_VIVO_0112 a 3101_CAMP. REG)'!$F$333:$L$447,7,FALSE)</f>
        <v>0.5</v>
      </c>
      <c r="CC102" s="73">
        <f>VLOOKUP(UNINASSAU.[[#This Row],[CURSO]],'[1]POS_VIVO_0112 a 3101_CAMP. REG)'!$F$333:$M$447,8,FALSE)</f>
        <v>118.03</v>
      </c>
      <c r="CD102" s="72">
        <f>VLOOKUP(UNINASSAU.[[#This Row],[CURSO]],'[1]POS_VIVO_0112 a 3101_CAMP. REG)'!$F$333:$P$447,11,FALSE)</f>
        <v>0.55000000000000004</v>
      </c>
      <c r="CE102" s="73">
        <f>VLOOKUP(UNINASSAU.[[#This Row],[CURSO]],'[1]POS_VIVO_0112 a 3101_CAMP. REG)'!$F$333:$Q$447,12,FALSE)</f>
        <v>106.22</v>
      </c>
      <c r="CM102" s="69"/>
      <c r="CN102" s="69"/>
      <c r="CP102" s="104">
        <v>99</v>
      </c>
      <c r="CQ102" s="121" t="s">
        <v>221</v>
      </c>
    </row>
    <row r="103" spans="14:95" ht="16.5" customHeight="1" x14ac:dyDescent="0.25">
      <c r="N103" s="163" t="s">
        <v>292</v>
      </c>
      <c r="O103" s="69" t="s">
        <v>369</v>
      </c>
      <c r="P103" s="69" t="str">
        <f>VLOOKUP(UNIFAEL.[[#This Row],[CURSO]],'[1]POS_VIVO_0112 a 3101_CAMP. REG)'!$F$5:$G$113,2,FALSE)</f>
        <v>Educação</v>
      </c>
      <c r="Q103" s="68">
        <f>VLOOKUP(UNIFAEL.[[#This Row],[CURSO]],'[1]POS_VIVO_0112 a 3101_CAMP. REG)'!$F$5:$H$113,3,FALSE)</f>
        <v>18</v>
      </c>
      <c r="R103" s="68">
        <f>VLOOKUP(UNIFAEL.[[#This Row],[CURSO]],'[1]POS_VIVO_0112 a 3101_CAMP. REG)'!$F$5:$I$113,4,FALSE)</f>
        <v>19</v>
      </c>
      <c r="S103" s="73">
        <f>VLOOKUP(UNIFAEL.[[#This Row],[CURSO]],'[1]POS_VIVO_0112 a 3101_CAMP. REG)'!$F$5:$J$113,5,FALSE)</f>
        <v>419.73304200000007</v>
      </c>
      <c r="T103" s="124">
        <f>VLOOKUP(UNIFAEL.[[#This Row],[CURSO]],'[1]POS_VIVO_0112 a 3101_CAMP. REG)'!$F$5:$L$113,7,FALSE)</f>
        <v>0.5</v>
      </c>
      <c r="U103" s="71">
        <f>VLOOKUP(UNIFAEL.[[#This Row],[CURSO]],'[1]POS_VIVO_0112 a 3101_CAMP. REG)'!$F$5:$M$113,8,FALSE)</f>
        <v>188.88</v>
      </c>
      <c r="V103" s="72">
        <f>VLOOKUP(UNIFAEL.[[#This Row],[CURSO]],'[1]POS_VIVO_0112 a 3101_CAMP. REG)'!$F$5:$P$113,11,FALSE)</f>
        <v>0.55000000000000004</v>
      </c>
      <c r="W103" s="73">
        <f>VLOOKUP(UNIFAEL.[[#This Row],[CURSO]],'[1]POS_VIVO_0112 a 3101_CAMP. REG)'!$F$5:$Q$113,12,FALSE)</f>
        <v>169.99</v>
      </c>
      <c r="X103" s="75">
        <f>UNIFAEL.[[#This Row],[Nº Parcelas]]</f>
        <v>19</v>
      </c>
      <c r="Y103" s="75">
        <f>UNIFAEL.[[#This Row],[Nº Parcelas normal2]]-1</f>
        <v>18</v>
      </c>
      <c r="Z103" s="73">
        <f>UNIFAEL.[[#This Row],[$ NORMAL]]</f>
        <v>419.73304200000007</v>
      </c>
      <c r="AA103" s="72">
        <f>UNIFAEL.[[#This Row],[%  SITE]]</f>
        <v>0.5</v>
      </c>
      <c r="AB103" s="73">
        <f>UNIFAEL.[[#This Row],[$ SITE]]</f>
        <v>188.88</v>
      </c>
      <c r="AC103" s="72">
        <f>UNIFAEL.[[#This Row],[%  SGP]]</f>
        <v>0.55000000000000004</v>
      </c>
      <c r="AD103" s="73">
        <f>UNIFAEL.[[#This Row],[$ SGP]]</f>
        <v>169.99</v>
      </c>
      <c r="AE103" s="69" t="s">
        <v>371</v>
      </c>
      <c r="AF103" s="69" t="s">
        <v>372</v>
      </c>
      <c r="AH103" s="121" t="s">
        <v>292</v>
      </c>
      <c r="AI103" s="69" t="s">
        <v>369</v>
      </c>
      <c r="AJ103" s="69" t="str">
        <f>VLOOKUP(UNAMA.[[#This Row],[PARCELA MATRICULA NÃO PAGA]],'[1]POS_VIVO_0112 a 3101_CAMP. REG)'!$F$115:$G$222,2,FALSE)</f>
        <v>Educação</v>
      </c>
      <c r="AK103" s="69">
        <f>VLOOKUP(UNAMA.[[#This Row],[PARCELA MATRICULA NÃO PAGA]],'[1]POS_VIVO_0112 a 3101_CAMP. REG)'!$F$115:$H$222,3,FALSE)</f>
        <v>18</v>
      </c>
      <c r="AL103" s="69">
        <f>VLOOKUP(UNAMA.[[#This Row],[PARCELA MATRICULA NÃO PAGA]],'[1]POS_VIVO_0112 a 3101_CAMP. REG)'!$F$115:$I$222,4,FALSE)</f>
        <v>19</v>
      </c>
      <c r="AM103" s="71">
        <f>VLOOKUP(UNAMA.[[#This Row],[PARCELA MATRICULA NÃO PAGA]],'[1]POS_VIVO_0112 a 3101_CAMP. REG)'!$F$115:$J$222,5,FALSE)</f>
        <v>419.73304200000007</v>
      </c>
      <c r="AN103" s="123">
        <f>VLOOKUP(UNAMA.[[#This Row],[PARCELA MATRICULA NÃO PAGA]],'[1]POS_VIVO_0112 a 3101_CAMP. REG)'!$F$115:$L$222,7,FALSE)</f>
        <v>0.5</v>
      </c>
      <c r="AO103" s="73">
        <f>VLOOKUP(UNAMA.[[#This Row],[PARCELA MATRICULA NÃO PAGA]],'[1]POS_VIVO_0112 a 3101_CAMP. REG)'!$F$115:$M$222,8,FALSE)</f>
        <v>188.88</v>
      </c>
      <c r="AP103" s="72">
        <f>VLOOKUP(UNAMA.[[#This Row],[PARCELA MATRICULA NÃO PAGA]],'[1]POS_VIVO_0112 a 3101_CAMP. REG)'!$F$115:$P$222,11,FALSE)</f>
        <v>0.55000000000000004</v>
      </c>
      <c r="AQ103" s="73">
        <f>VLOOKUP(UNAMA.[[#This Row],[PARCELA MATRICULA NÃO PAGA]],'[1]POS_VIVO_0112 a 3101_CAMP. REG)'!$F$115:$Q$222,12,FALSE)</f>
        <v>169.99</v>
      </c>
      <c r="AR103" s="68">
        <f>UNAMA.[[#This Row],[Nº Parcelas]]</f>
        <v>19</v>
      </c>
      <c r="AS103" s="68">
        <f>UNAMA.[[#This Row],[Nº Parcelas normal2]]-1</f>
        <v>18</v>
      </c>
      <c r="AT103" s="71">
        <f>UNAMA.[[#This Row],[$ NORMAL]]</f>
        <v>419.73304200000007</v>
      </c>
      <c r="AU103" s="162">
        <f>UNAMA.[[#This Row],[%  SITE]]</f>
        <v>0.5</v>
      </c>
      <c r="AV103" s="161">
        <f>UNAMA.[[#This Row],[$ SITE]]</f>
        <v>188.88</v>
      </c>
      <c r="AW103" s="162">
        <f>UNAMA.[[#This Row],[%  SGP]]</f>
        <v>0.55000000000000004</v>
      </c>
      <c r="AX103" s="161">
        <f>UNAMA.[[#This Row],[$ SGP]]</f>
        <v>169.99</v>
      </c>
      <c r="AY103" s="69" t="s">
        <v>351</v>
      </c>
      <c r="AZ103" s="69" t="s">
        <v>372</v>
      </c>
      <c r="BB103" s="121" t="s">
        <v>292</v>
      </c>
      <c r="BC103" s="69" t="s">
        <v>369</v>
      </c>
      <c r="BD103" s="68" t="str">
        <f>VLOOKUP(UNG.[[#This Row],[CURSO]],'[1]POS_VIVO_0112 a 3101_CAMP. REG)'!$F$224:$G$331,2,FALSE)</f>
        <v>Educação</v>
      </c>
      <c r="BE103" s="70">
        <f>VLOOKUP(UNG.[[#This Row],[CURSO]],'[1]POS_VIVO_0112 a 3101_CAMP. REG)'!$F$224:$H$331,3,FALSE)</f>
        <v>18</v>
      </c>
      <c r="BF103" s="70">
        <f>VLOOKUP(UNG.[[#This Row],[CURSO]],'[1]POS_VIVO_0112 a 3101_CAMP. REG)'!$F$224:$I$331,4,FALSE)</f>
        <v>19</v>
      </c>
      <c r="BG103" s="73">
        <f>VLOOKUP(UNG.[[#This Row],[CURSO]],'[1]POS_VIVO_0112 a 3101_CAMP. REG)'!$F$224:$J$331,5,FALSE)</f>
        <v>419.73304200000007</v>
      </c>
      <c r="BH103" s="72">
        <f>VLOOKUP(UNG.[[#This Row],[CURSO]],'[1]POS_VIVO_0112 a 3101_CAMP. REG)'!$F$224:$L$331,7,FALSE)</f>
        <v>0.5</v>
      </c>
      <c r="BI103" s="73">
        <f>VLOOKUP(UNG.[[#This Row],[CURSO]],'[1]POS_VIVO_0112 a 3101_CAMP. REG)'!$F$224:$M$331,8,FALSE)</f>
        <v>188.88</v>
      </c>
      <c r="BJ103" s="72">
        <f>VLOOKUP(UNG.[[#This Row],[CURSO]],'[1]POS_VIVO_0112 a 3101_CAMP. REG)'!$F$224:$P$331,11,FALSE)</f>
        <v>0.55000000000000004</v>
      </c>
      <c r="BK103" s="73">
        <f>VLOOKUP(UNG.[[#This Row],[CURSO]],'[1]POS_VIVO_0112 a 3101_CAMP. REG)'!$F$224:$Q$331,12,FALSE)</f>
        <v>169.99</v>
      </c>
      <c r="BL103" s="75">
        <f>UNG.[[#This Row],[Nº Parcelas]]</f>
        <v>19</v>
      </c>
      <c r="BM103" s="75">
        <f>UNG.[[#This Row],[Nº Parcelas normal2]]-1</f>
        <v>18</v>
      </c>
      <c r="BN103" s="73">
        <f>UNG.[[#This Row],[$ NORMAL]]</f>
        <v>419.73304200000007</v>
      </c>
      <c r="BO103" s="72">
        <f>UNG.[[#This Row],[%  SITE]]</f>
        <v>0.5</v>
      </c>
      <c r="BP103" s="73">
        <f>UNG.[[#This Row],[$ SITE]]</f>
        <v>188.88</v>
      </c>
      <c r="BQ103" s="72">
        <f>UNG.[[#This Row],[%  SGP]]</f>
        <v>0.55000000000000004</v>
      </c>
      <c r="BR103" s="73">
        <f>UNG.[[#This Row],[$ SGP]]</f>
        <v>169.99</v>
      </c>
      <c r="BS103" s="69" t="s">
        <v>351</v>
      </c>
      <c r="BT103" s="69" t="s">
        <v>372</v>
      </c>
      <c r="BV103" s="121" t="s">
        <v>292</v>
      </c>
      <c r="BW103" s="69" t="s">
        <v>369</v>
      </c>
      <c r="BX103" s="69" t="str">
        <f>VLOOKUP(UNINASSAU.[[#This Row],[CURSO]],'[1]POS_VIVO_0112 a 3101_CAMP. REG)'!$F$333:$G$447,2,FALSE)</f>
        <v>Educação</v>
      </c>
      <c r="BY103" s="68">
        <f>VLOOKUP(UNINASSAU.[[#This Row],[CURSO]],'[1]POS_VIVO_0112 a 3101_CAMP. REG)'!$F$333:$H$447,3,FALSE)</f>
        <v>18</v>
      </c>
      <c r="BZ103" s="68">
        <f>VLOOKUP(UNINASSAU.[[#This Row],[CURSO]],'[1]POS_VIVO_0112 a 3101_CAMP. REG)'!$F$333:$I$447,4,FALSE)</f>
        <v>19</v>
      </c>
      <c r="CA103" s="73">
        <f>VLOOKUP(UNINASSAU.[[#This Row],[CURSO]],'[1]POS_VIVO_0112 a 3101_CAMP. REG)'!$F$333:$J$447,5,FALSE)</f>
        <v>419.73304200000007</v>
      </c>
      <c r="CB103" s="72">
        <f>VLOOKUP(UNINASSAU.[[#This Row],[CURSO]],'[1]POS_VIVO_0112 a 3101_CAMP. REG)'!$F$333:$L$447,7,FALSE)</f>
        <v>0.5</v>
      </c>
      <c r="CC103" s="73">
        <f>VLOOKUP(UNINASSAU.[[#This Row],[CURSO]],'[1]POS_VIVO_0112 a 3101_CAMP. REG)'!$F$333:$M$447,8,FALSE)</f>
        <v>188.88</v>
      </c>
      <c r="CD103" s="72">
        <f>VLOOKUP(UNINASSAU.[[#This Row],[CURSO]],'[1]POS_VIVO_0112 a 3101_CAMP. REG)'!$F$333:$P$447,11,FALSE)</f>
        <v>0.55000000000000004</v>
      </c>
      <c r="CE103" s="73">
        <f>VLOOKUP(UNINASSAU.[[#This Row],[CURSO]],'[1]POS_VIVO_0112 a 3101_CAMP. REG)'!$F$333:$Q$447,12,FALSE)</f>
        <v>169.99</v>
      </c>
      <c r="CM103" s="69"/>
      <c r="CN103" s="69"/>
      <c r="CP103" s="104">
        <v>100</v>
      </c>
      <c r="CQ103" s="121" t="s">
        <v>295</v>
      </c>
    </row>
    <row r="104" spans="14:95" ht="16.5" customHeight="1" x14ac:dyDescent="0.25">
      <c r="N104" s="121" t="s">
        <v>363</v>
      </c>
      <c r="O104" s="69" t="s">
        <v>19</v>
      </c>
      <c r="P104" s="69" t="str">
        <f>VLOOKUP(UNIFAEL.[[#This Row],[CURSO]],'[1]POS_VIVO_0112 a 3101_CAMP. REG)'!$F$5:$G$113,2,FALSE)</f>
        <v>Gestão</v>
      </c>
      <c r="Q104" s="68">
        <f>VLOOKUP(UNIFAEL.[[#This Row],[CURSO]],'[1]POS_VIVO_0112 a 3101_CAMP. REG)'!$F$5:$H$113,3,FALSE)</f>
        <v>12</v>
      </c>
      <c r="R104" s="68">
        <f>VLOOKUP(UNIFAEL.[[#This Row],[CURSO]],'[1]POS_VIVO_0112 a 3101_CAMP. REG)'!$F$5:$I$113,4,FALSE)</f>
        <v>19</v>
      </c>
      <c r="S104" s="73">
        <f>VLOOKUP(UNIFAEL.[[#This Row],[CURSO]],'[1]POS_VIVO_0112 a 3101_CAMP. REG)'!$F$5:$J$113,5,FALSE)</f>
        <v>320.60000000000002</v>
      </c>
      <c r="T104" s="124">
        <f>VLOOKUP(UNIFAEL.[[#This Row],[CURSO]],'[1]POS_VIVO_0112 a 3101_CAMP. REG)'!$F$5:$L$113,7,FALSE)</f>
        <v>0.4</v>
      </c>
      <c r="U104" s="71">
        <f>VLOOKUP(UNIFAEL.[[#This Row],[CURSO]],'[1]POS_VIVO_0112 a 3101_CAMP. REG)'!$F$5:$M$113,8,FALSE)</f>
        <v>173.12</v>
      </c>
      <c r="V104" s="72">
        <f>VLOOKUP(UNIFAEL.[[#This Row],[CURSO]],'[1]POS_VIVO_0112 a 3101_CAMP. REG)'!$F$5:$P$113,11,FALSE)</f>
        <v>0.45</v>
      </c>
      <c r="W104" s="73">
        <f>VLOOKUP(UNIFAEL.[[#This Row],[CURSO]],'[1]POS_VIVO_0112 a 3101_CAMP. REG)'!$F$5:$Q$113,12,FALSE)</f>
        <v>158.69999999999999</v>
      </c>
      <c r="X104" s="75">
        <f>UNIFAEL.[[#This Row],[Nº Parcelas]]</f>
        <v>19</v>
      </c>
      <c r="Y104" s="75">
        <f>UNIFAEL.[[#This Row],[Nº Parcelas normal2]]-1</f>
        <v>18</v>
      </c>
      <c r="Z104" s="73">
        <f>UNIFAEL.[[#This Row],[$ NORMAL]]</f>
        <v>320.60000000000002</v>
      </c>
      <c r="AA104" s="72">
        <f>UNIFAEL.[[#This Row],[%  SITE]]</f>
        <v>0.4</v>
      </c>
      <c r="AB104" s="73">
        <f>UNIFAEL.[[#This Row],[$ SITE]]</f>
        <v>173.12</v>
      </c>
      <c r="AC104" s="72">
        <f>UNIFAEL.[[#This Row],[%  SGP]]</f>
        <v>0.45</v>
      </c>
      <c r="AD104" s="73">
        <f>UNIFAEL.[[#This Row],[$ SGP]]</f>
        <v>158.69999999999999</v>
      </c>
      <c r="AE104" s="69" t="s">
        <v>371</v>
      </c>
      <c r="AF104" s="69" t="s">
        <v>372</v>
      </c>
      <c r="AH104" s="121" t="s">
        <v>363</v>
      </c>
      <c r="AI104" s="69" t="s">
        <v>19</v>
      </c>
      <c r="AJ104" s="69" t="str">
        <f>VLOOKUP(UNAMA.[[#This Row],[PARCELA MATRICULA NÃO PAGA]],'[1]POS_VIVO_0112 a 3101_CAMP. REG)'!$F$115:$G$222,2,FALSE)</f>
        <v>Gestão</v>
      </c>
      <c r="AK104" s="69">
        <f>VLOOKUP(UNAMA.[[#This Row],[PARCELA MATRICULA NÃO PAGA]],'[1]POS_VIVO_0112 a 3101_CAMP. REG)'!$F$115:$H$222,3,FALSE)</f>
        <v>12</v>
      </c>
      <c r="AL104" s="69">
        <f>VLOOKUP(UNAMA.[[#This Row],[PARCELA MATRICULA NÃO PAGA]],'[1]POS_VIVO_0112 a 3101_CAMP. REG)'!$F$115:$I$222,4,FALSE)</f>
        <v>19</v>
      </c>
      <c r="AM104" s="71">
        <f>VLOOKUP(UNAMA.[[#This Row],[PARCELA MATRICULA NÃO PAGA]],'[1]POS_VIVO_0112 a 3101_CAMP. REG)'!$F$115:$J$222,5,FALSE)</f>
        <v>352.67</v>
      </c>
      <c r="AN104" s="123">
        <f>VLOOKUP(UNAMA.[[#This Row],[PARCELA MATRICULA NÃO PAGA]],'[1]POS_VIVO_0112 a 3101_CAMP. REG)'!$F$115:$L$222,7,FALSE)</f>
        <v>0.4</v>
      </c>
      <c r="AO104" s="73">
        <f>VLOOKUP(UNAMA.[[#This Row],[PARCELA MATRICULA NÃO PAGA]],'[1]POS_VIVO_0112 a 3101_CAMP. REG)'!$F$115:$M$222,8,FALSE)</f>
        <v>190.44</v>
      </c>
      <c r="AP104" s="72">
        <f>VLOOKUP(UNAMA.[[#This Row],[PARCELA MATRICULA NÃO PAGA]],'[1]POS_VIVO_0112 a 3101_CAMP. REG)'!$F$115:$P$222,11,FALSE)</f>
        <v>0.45</v>
      </c>
      <c r="AQ104" s="73">
        <f>VLOOKUP(UNAMA.[[#This Row],[PARCELA MATRICULA NÃO PAGA]],'[1]POS_VIVO_0112 a 3101_CAMP. REG)'!$F$115:$Q$222,12,FALSE)</f>
        <v>174.57</v>
      </c>
      <c r="AR104" s="68">
        <f>UNAMA.[[#This Row],[Nº Parcelas]]</f>
        <v>19</v>
      </c>
      <c r="AS104" s="68">
        <f>UNAMA.[[#This Row],[Nº Parcelas normal2]]-1</f>
        <v>18</v>
      </c>
      <c r="AT104" s="71">
        <f>UNAMA.[[#This Row],[$ NORMAL]]</f>
        <v>352.67</v>
      </c>
      <c r="AU104" s="162">
        <f>UNAMA.[[#This Row],[%  SITE]]</f>
        <v>0.4</v>
      </c>
      <c r="AV104" s="161">
        <f>UNAMA.[[#This Row],[$ SITE]]</f>
        <v>190.44</v>
      </c>
      <c r="AW104" s="162">
        <f>UNAMA.[[#This Row],[%  SGP]]</f>
        <v>0.45</v>
      </c>
      <c r="AX104" s="161">
        <f>UNAMA.[[#This Row],[$ SGP]]</f>
        <v>174.57</v>
      </c>
      <c r="AY104" s="69" t="s">
        <v>351</v>
      </c>
      <c r="AZ104" s="69" t="s">
        <v>372</v>
      </c>
      <c r="BB104" s="121" t="s">
        <v>363</v>
      </c>
      <c r="BC104" s="69" t="s">
        <v>19</v>
      </c>
      <c r="BD104" s="68" t="str">
        <f>VLOOKUP(UNG.[[#This Row],[CURSO]],'[1]POS_VIVO_0112 a 3101_CAMP. REG)'!$F$224:$G$331,2,FALSE)</f>
        <v>Gestão</v>
      </c>
      <c r="BE104" s="70">
        <f>VLOOKUP(UNG.[[#This Row],[CURSO]],'[1]POS_VIVO_0112 a 3101_CAMP. REG)'!$F$224:$H$331,3,FALSE)</f>
        <v>12</v>
      </c>
      <c r="BF104" s="70">
        <f>VLOOKUP(UNG.[[#This Row],[CURSO]],'[1]POS_VIVO_0112 a 3101_CAMP. REG)'!$F$224:$I$331,4,FALSE)</f>
        <v>19</v>
      </c>
      <c r="BG104" s="73">
        <f>VLOOKUP(UNG.[[#This Row],[CURSO]],'[1]POS_VIVO_0112 a 3101_CAMP. REG)'!$F$224:$J$331,5,FALSE)</f>
        <v>320.60000000000002</v>
      </c>
      <c r="BH104" s="72">
        <f>VLOOKUP(UNG.[[#This Row],[CURSO]],'[1]POS_VIVO_0112 a 3101_CAMP. REG)'!$F$224:$L$331,7,FALSE)</f>
        <v>0.4</v>
      </c>
      <c r="BI104" s="73">
        <f>VLOOKUP(UNG.[[#This Row],[CURSO]],'[1]POS_VIVO_0112 a 3101_CAMP. REG)'!$F$224:$M$331,8,FALSE)</f>
        <v>173.12</v>
      </c>
      <c r="BJ104" s="72">
        <f>VLOOKUP(UNG.[[#This Row],[CURSO]],'[1]POS_VIVO_0112 a 3101_CAMP. REG)'!$F$224:$P$331,11,FALSE)</f>
        <v>0.45</v>
      </c>
      <c r="BK104" s="73">
        <f>VLOOKUP(UNG.[[#This Row],[CURSO]],'[1]POS_VIVO_0112 a 3101_CAMP. REG)'!$F$224:$Q$331,12,FALSE)</f>
        <v>158.69999999999999</v>
      </c>
      <c r="BL104" s="75">
        <f>UNG.[[#This Row],[Nº Parcelas]]</f>
        <v>19</v>
      </c>
      <c r="BM104" s="75">
        <f>UNG.[[#This Row],[Nº Parcelas normal2]]-1</f>
        <v>18</v>
      </c>
      <c r="BN104" s="73">
        <f>UNG.[[#This Row],[$ NORMAL]]</f>
        <v>320.60000000000002</v>
      </c>
      <c r="BO104" s="72">
        <f>UNG.[[#This Row],[%  SITE]]</f>
        <v>0.4</v>
      </c>
      <c r="BP104" s="73">
        <f>UNG.[[#This Row],[$ SITE]]</f>
        <v>173.12</v>
      </c>
      <c r="BQ104" s="72">
        <f>UNG.[[#This Row],[%  SGP]]</f>
        <v>0.45</v>
      </c>
      <c r="BR104" s="73">
        <f>UNG.[[#This Row],[$ SGP]]</f>
        <v>158.69999999999999</v>
      </c>
      <c r="BS104" s="69" t="s">
        <v>351</v>
      </c>
      <c r="BT104" s="69" t="s">
        <v>372</v>
      </c>
      <c r="BV104" s="121" t="s">
        <v>363</v>
      </c>
      <c r="BW104" s="69" t="s">
        <v>19</v>
      </c>
      <c r="BX104" s="69" t="str">
        <f>VLOOKUP(UNINASSAU.[[#This Row],[CURSO]],'[1]POS_VIVO_0112 a 3101_CAMP. REG)'!$F$333:$G$447,2,FALSE)</f>
        <v>Gestão</v>
      </c>
      <c r="BY104" s="68">
        <f>VLOOKUP(UNINASSAU.[[#This Row],[CURSO]],'[1]POS_VIVO_0112 a 3101_CAMP. REG)'!$F$333:$H$447,3,FALSE)</f>
        <v>12</v>
      </c>
      <c r="BZ104" s="68">
        <f>VLOOKUP(UNINASSAU.[[#This Row],[CURSO]],'[1]POS_VIVO_0112 a 3101_CAMP. REG)'!$F$333:$I$447,4,FALSE)</f>
        <v>19</v>
      </c>
      <c r="CA104" s="73">
        <f>VLOOKUP(UNINASSAU.[[#This Row],[CURSO]],'[1]POS_VIVO_0112 a 3101_CAMP. REG)'!$F$333:$J$447,5,FALSE)</f>
        <v>320.60000000000002</v>
      </c>
      <c r="CB104" s="72">
        <f>VLOOKUP(UNINASSAU.[[#This Row],[CURSO]],'[1]POS_VIVO_0112 a 3101_CAMP. REG)'!$F$333:$L$447,7,FALSE)</f>
        <v>0.4</v>
      </c>
      <c r="CC104" s="73">
        <f>VLOOKUP(UNINASSAU.[[#This Row],[CURSO]],'[1]POS_VIVO_0112 a 3101_CAMP. REG)'!$F$333:$M$447,8,FALSE)</f>
        <v>173.12</v>
      </c>
      <c r="CD104" s="72">
        <f>VLOOKUP(UNINASSAU.[[#This Row],[CURSO]],'[1]POS_VIVO_0112 a 3101_CAMP. REG)'!$F$333:$P$447,11,FALSE)</f>
        <v>0.45</v>
      </c>
      <c r="CE104" s="73">
        <f>VLOOKUP(UNINASSAU.[[#This Row],[CURSO]],'[1]POS_VIVO_0112 a 3101_CAMP. REG)'!$F$333:$Q$447,12,FALSE)</f>
        <v>158.69999999999999</v>
      </c>
      <c r="CM104" s="69"/>
      <c r="CN104" s="69"/>
      <c r="CP104" s="104">
        <v>101</v>
      </c>
      <c r="CQ104" s="121" t="s">
        <v>339</v>
      </c>
    </row>
    <row r="105" spans="14:95" ht="16.5" customHeight="1" x14ac:dyDescent="0.25">
      <c r="N105" s="121" t="s">
        <v>364</v>
      </c>
      <c r="O105" s="69" t="s">
        <v>19</v>
      </c>
      <c r="P105" s="69" t="str">
        <f>VLOOKUP(UNIFAEL.[[#This Row],[CURSO]],'[1]POS_VIVO_0112 a 3101_CAMP. REG)'!$F$5:$G$113,2,FALSE)</f>
        <v>Educação</v>
      </c>
      <c r="Q105" s="68">
        <f>VLOOKUP(UNIFAEL.[[#This Row],[CURSO]],'[1]POS_VIVO_0112 a 3101_CAMP. REG)'!$F$5:$H$113,3,FALSE)</f>
        <v>12</v>
      </c>
      <c r="R105" s="68">
        <f>VLOOKUP(UNIFAEL.[[#This Row],[CURSO]],'[1]POS_VIVO_0112 a 3101_CAMP. REG)'!$F$5:$I$113,4,FALSE)</f>
        <v>19</v>
      </c>
      <c r="S105" s="73">
        <f>VLOOKUP(UNIFAEL.[[#This Row],[CURSO]],'[1]POS_VIVO_0112 a 3101_CAMP. REG)'!$F$5:$J$113,5,FALSE)</f>
        <v>367.39500000000004</v>
      </c>
      <c r="T105" s="124">
        <f>VLOOKUP(UNIFAEL.[[#This Row],[CURSO]],'[1]POS_VIVO_0112 a 3101_CAMP. REG)'!$F$5:$L$113,7,FALSE)</f>
        <v>0.4</v>
      </c>
      <c r="U105" s="71">
        <f>VLOOKUP(UNIFAEL.[[#This Row],[CURSO]],'[1]POS_VIVO_0112 a 3101_CAMP. REG)'!$F$5:$M$113,8,FALSE)</f>
        <v>198.39</v>
      </c>
      <c r="V105" s="72">
        <f>VLOOKUP(UNIFAEL.[[#This Row],[CURSO]],'[1]POS_VIVO_0112 a 3101_CAMP. REG)'!$F$5:$P$113,11,FALSE)</f>
        <v>0.45</v>
      </c>
      <c r="W105" s="73">
        <f>VLOOKUP(UNIFAEL.[[#This Row],[CURSO]],'[1]POS_VIVO_0112 a 3101_CAMP. REG)'!$F$5:$Q$113,12,FALSE)</f>
        <v>181.86</v>
      </c>
      <c r="X105" s="75">
        <f>UNIFAEL.[[#This Row],[Nº Parcelas]]</f>
        <v>19</v>
      </c>
      <c r="Y105" s="75">
        <f>UNIFAEL.[[#This Row],[Nº Parcelas normal2]]-1</f>
        <v>18</v>
      </c>
      <c r="Z105" s="73">
        <f>UNIFAEL.[[#This Row],[$ NORMAL]]</f>
        <v>367.39500000000004</v>
      </c>
      <c r="AA105" s="72">
        <f>UNIFAEL.[[#This Row],[%  SITE]]</f>
        <v>0.4</v>
      </c>
      <c r="AB105" s="73">
        <f>UNIFAEL.[[#This Row],[$ SITE]]</f>
        <v>198.39</v>
      </c>
      <c r="AC105" s="72">
        <f>UNIFAEL.[[#This Row],[%  SGP]]</f>
        <v>0.45</v>
      </c>
      <c r="AD105" s="73">
        <f>UNIFAEL.[[#This Row],[$ SGP]]</f>
        <v>181.86</v>
      </c>
      <c r="AE105" s="69" t="s">
        <v>371</v>
      </c>
      <c r="AF105" s="69" t="s">
        <v>372</v>
      </c>
      <c r="AH105" s="121" t="s">
        <v>364</v>
      </c>
      <c r="AI105" s="69" t="s">
        <v>19</v>
      </c>
      <c r="AJ105" s="69" t="str">
        <f>VLOOKUP(UNAMA.[[#This Row],[PARCELA MATRICULA NÃO PAGA]],'[1]POS_VIVO_0112 a 3101_CAMP. REG)'!$F$115:$G$222,2,FALSE)</f>
        <v>Educação</v>
      </c>
      <c r="AK105" s="69">
        <f>VLOOKUP(UNAMA.[[#This Row],[PARCELA MATRICULA NÃO PAGA]],'[1]POS_VIVO_0112 a 3101_CAMP. REG)'!$F$115:$H$222,3,FALSE)</f>
        <v>12</v>
      </c>
      <c r="AL105" s="69">
        <f>VLOOKUP(UNAMA.[[#This Row],[PARCELA MATRICULA NÃO PAGA]],'[1]POS_VIVO_0112 a 3101_CAMP. REG)'!$F$115:$I$222,4,FALSE)</f>
        <v>19</v>
      </c>
      <c r="AM105" s="71">
        <f>VLOOKUP(UNAMA.[[#This Row],[PARCELA MATRICULA NÃO PAGA]],'[1]POS_VIVO_0112 a 3101_CAMP. REG)'!$F$115:$J$222,5,FALSE)</f>
        <v>404.13450000000006</v>
      </c>
      <c r="AN105" s="123">
        <f>VLOOKUP(UNAMA.[[#This Row],[PARCELA MATRICULA NÃO PAGA]],'[1]POS_VIVO_0112 a 3101_CAMP. REG)'!$F$115:$L$222,7,FALSE)</f>
        <v>0.4</v>
      </c>
      <c r="AO105" s="73">
        <f>VLOOKUP(UNAMA.[[#This Row],[PARCELA MATRICULA NÃO PAGA]],'[1]POS_VIVO_0112 a 3101_CAMP. REG)'!$F$115:$M$222,8,FALSE)</f>
        <v>218.23</v>
      </c>
      <c r="AP105" s="72">
        <f>VLOOKUP(UNAMA.[[#This Row],[PARCELA MATRICULA NÃO PAGA]],'[1]POS_VIVO_0112 a 3101_CAMP. REG)'!$F$115:$P$222,11,FALSE)</f>
        <v>0.45</v>
      </c>
      <c r="AQ105" s="73">
        <f>VLOOKUP(UNAMA.[[#This Row],[PARCELA MATRICULA NÃO PAGA]],'[1]POS_VIVO_0112 a 3101_CAMP. REG)'!$F$115:$Q$222,12,FALSE)</f>
        <v>200.05</v>
      </c>
      <c r="AR105" s="68">
        <f>UNAMA.[[#This Row],[Nº Parcelas]]</f>
        <v>19</v>
      </c>
      <c r="AS105" s="68">
        <f>UNAMA.[[#This Row],[Nº Parcelas normal2]]-1</f>
        <v>18</v>
      </c>
      <c r="AT105" s="71">
        <f>UNAMA.[[#This Row],[$ NORMAL]]</f>
        <v>404.13450000000006</v>
      </c>
      <c r="AU105" s="162">
        <f>UNAMA.[[#This Row],[%  SITE]]</f>
        <v>0.4</v>
      </c>
      <c r="AV105" s="161">
        <f>UNAMA.[[#This Row],[$ SITE]]</f>
        <v>218.23</v>
      </c>
      <c r="AW105" s="162">
        <f>UNAMA.[[#This Row],[%  SGP]]</f>
        <v>0.45</v>
      </c>
      <c r="AX105" s="161">
        <f>UNAMA.[[#This Row],[$ SGP]]</f>
        <v>200.05</v>
      </c>
      <c r="AY105" s="69" t="s">
        <v>351</v>
      </c>
      <c r="AZ105" s="69" t="s">
        <v>372</v>
      </c>
      <c r="BB105" s="121" t="s">
        <v>364</v>
      </c>
      <c r="BC105" s="69" t="s">
        <v>19</v>
      </c>
      <c r="BD105" s="68" t="str">
        <f>VLOOKUP(UNG.[[#This Row],[CURSO]],'[1]POS_VIVO_0112 a 3101_CAMP. REG)'!$F$224:$G$331,2,FALSE)</f>
        <v>Educação</v>
      </c>
      <c r="BE105" s="70">
        <f>VLOOKUP(UNG.[[#This Row],[CURSO]],'[1]POS_VIVO_0112 a 3101_CAMP. REG)'!$F$224:$H$331,3,FALSE)</f>
        <v>12</v>
      </c>
      <c r="BF105" s="70">
        <f>VLOOKUP(UNG.[[#This Row],[CURSO]],'[1]POS_VIVO_0112 a 3101_CAMP. REG)'!$F$224:$I$331,4,FALSE)</f>
        <v>19</v>
      </c>
      <c r="BG105" s="73">
        <f>VLOOKUP(UNG.[[#This Row],[CURSO]],'[1]POS_VIVO_0112 a 3101_CAMP. REG)'!$F$224:$J$331,5,FALSE)</f>
        <v>367.39500000000004</v>
      </c>
      <c r="BH105" s="72">
        <f>VLOOKUP(UNG.[[#This Row],[CURSO]],'[1]POS_VIVO_0112 a 3101_CAMP. REG)'!$F$224:$L$331,7,FALSE)</f>
        <v>0.4</v>
      </c>
      <c r="BI105" s="73">
        <f>VLOOKUP(UNG.[[#This Row],[CURSO]],'[1]POS_VIVO_0112 a 3101_CAMP. REG)'!$F$224:$M$331,8,FALSE)</f>
        <v>198.39</v>
      </c>
      <c r="BJ105" s="72">
        <f>VLOOKUP(UNG.[[#This Row],[CURSO]],'[1]POS_VIVO_0112 a 3101_CAMP. REG)'!$F$224:$P$331,11,FALSE)</f>
        <v>0.45</v>
      </c>
      <c r="BK105" s="73">
        <f>VLOOKUP(UNG.[[#This Row],[CURSO]],'[1]POS_VIVO_0112 a 3101_CAMP. REG)'!$F$224:$Q$331,12,FALSE)</f>
        <v>181.86</v>
      </c>
      <c r="BL105" s="75">
        <f>UNG.[[#This Row],[Nº Parcelas]]</f>
        <v>19</v>
      </c>
      <c r="BM105" s="75">
        <f>UNG.[[#This Row],[Nº Parcelas normal2]]-1</f>
        <v>18</v>
      </c>
      <c r="BN105" s="73">
        <f>UNG.[[#This Row],[$ NORMAL]]</f>
        <v>367.39500000000004</v>
      </c>
      <c r="BO105" s="72">
        <f>UNG.[[#This Row],[%  SITE]]</f>
        <v>0.4</v>
      </c>
      <c r="BP105" s="73">
        <f>UNG.[[#This Row],[$ SITE]]</f>
        <v>198.39</v>
      </c>
      <c r="BQ105" s="72">
        <f>UNG.[[#This Row],[%  SGP]]</f>
        <v>0.45</v>
      </c>
      <c r="BR105" s="73">
        <f>UNG.[[#This Row],[$ SGP]]</f>
        <v>181.86</v>
      </c>
      <c r="BS105" s="69" t="s">
        <v>351</v>
      </c>
      <c r="BT105" s="69" t="s">
        <v>372</v>
      </c>
      <c r="BV105" s="121" t="s">
        <v>364</v>
      </c>
      <c r="BW105" s="69" t="s">
        <v>19</v>
      </c>
      <c r="BX105" s="69" t="str">
        <f>VLOOKUP(UNINASSAU.[[#This Row],[CURSO]],'[1]POS_VIVO_0112 a 3101_CAMP. REG)'!$F$333:$G$447,2,FALSE)</f>
        <v>Educação</v>
      </c>
      <c r="BY105" s="68">
        <f>VLOOKUP(UNINASSAU.[[#This Row],[CURSO]],'[1]POS_VIVO_0112 a 3101_CAMP. REG)'!$F$333:$H$447,3,FALSE)</f>
        <v>12</v>
      </c>
      <c r="BZ105" s="68">
        <f>VLOOKUP(UNINASSAU.[[#This Row],[CURSO]],'[1]POS_VIVO_0112 a 3101_CAMP. REG)'!$F$333:$I$447,4,FALSE)</f>
        <v>19</v>
      </c>
      <c r="CA105" s="73">
        <f>VLOOKUP(UNINASSAU.[[#This Row],[CURSO]],'[1]POS_VIVO_0112 a 3101_CAMP. REG)'!$F$333:$J$447,5,FALSE)</f>
        <v>367.39500000000004</v>
      </c>
      <c r="CB105" s="72">
        <f>VLOOKUP(UNINASSAU.[[#This Row],[CURSO]],'[1]POS_VIVO_0112 a 3101_CAMP. REG)'!$F$333:$L$447,7,FALSE)</f>
        <v>0.4</v>
      </c>
      <c r="CC105" s="73">
        <f>VLOOKUP(UNINASSAU.[[#This Row],[CURSO]],'[1]POS_VIVO_0112 a 3101_CAMP. REG)'!$F$333:$M$447,8,FALSE)</f>
        <v>198.39</v>
      </c>
      <c r="CD105" s="72">
        <f>VLOOKUP(UNINASSAU.[[#This Row],[CURSO]],'[1]POS_VIVO_0112 a 3101_CAMP. REG)'!$F$333:$P$447,11,FALSE)</f>
        <v>0.45</v>
      </c>
      <c r="CE105" s="73">
        <f>VLOOKUP(UNINASSAU.[[#This Row],[CURSO]],'[1]POS_VIVO_0112 a 3101_CAMP. REG)'!$F$333:$Q$447,12,FALSE)</f>
        <v>181.86</v>
      </c>
      <c r="CM105" s="69"/>
      <c r="CN105" s="69"/>
      <c r="CP105" s="104">
        <v>102</v>
      </c>
      <c r="CQ105" s="121" t="s">
        <v>229</v>
      </c>
    </row>
    <row r="106" spans="14:95" ht="16.5" customHeight="1" x14ac:dyDescent="0.25">
      <c r="N106" s="121" t="s">
        <v>365</v>
      </c>
      <c r="O106" s="69" t="s">
        <v>19</v>
      </c>
      <c r="P106" s="69" t="str">
        <f>VLOOKUP(UNIFAEL.[[#This Row],[CURSO]],'[1]POS_VIVO_0112 a 3101_CAMP. REG)'!$F$5:$G$113,2,FALSE)</f>
        <v>Educação</v>
      </c>
      <c r="Q106" s="68">
        <f>VLOOKUP(UNIFAEL.[[#This Row],[CURSO]],'[1]POS_VIVO_0112 a 3101_CAMP. REG)'!$F$5:$H$113,3,FALSE)</f>
        <v>12</v>
      </c>
      <c r="R106" s="68">
        <f>VLOOKUP(UNIFAEL.[[#This Row],[CURSO]],'[1]POS_VIVO_0112 a 3101_CAMP. REG)'!$F$5:$I$113,4,FALSE)</f>
        <v>19</v>
      </c>
      <c r="S106" s="73">
        <f>VLOOKUP(UNIFAEL.[[#This Row],[CURSO]],'[1]POS_VIVO_0112 a 3101_CAMP. REG)'!$F$5:$J$113,5,FALSE)</f>
        <v>367.39500000000004</v>
      </c>
      <c r="T106" s="124">
        <f>VLOOKUP(UNIFAEL.[[#This Row],[CURSO]],'[1]POS_VIVO_0112 a 3101_CAMP. REG)'!$F$5:$L$113,7,FALSE)</f>
        <v>0.4</v>
      </c>
      <c r="U106" s="71">
        <f>VLOOKUP(UNIFAEL.[[#This Row],[CURSO]],'[1]POS_VIVO_0112 a 3101_CAMP. REG)'!$F$5:$M$113,8,FALSE)</f>
        <v>198.39</v>
      </c>
      <c r="V106" s="72">
        <f>VLOOKUP(UNIFAEL.[[#This Row],[CURSO]],'[1]POS_VIVO_0112 a 3101_CAMP. REG)'!$F$5:$P$113,11,FALSE)</f>
        <v>0.45</v>
      </c>
      <c r="W106" s="73">
        <f>VLOOKUP(UNIFAEL.[[#This Row],[CURSO]],'[1]POS_VIVO_0112 a 3101_CAMP. REG)'!$F$5:$Q$113,12,FALSE)</f>
        <v>181.86</v>
      </c>
      <c r="X106" s="75">
        <f>UNIFAEL.[[#This Row],[Nº Parcelas]]</f>
        <v>19</v>
      </c>
      <c r="Y106" s="75">
        <f>UNIFAEL.[[#This Row],[Nº Parcelas normal2]]-1</f>
        <v>18</v>
      </c>
      <c r="Z106" s="73">
        <f>UNIFAEL.[[#This Row],[$ NORMAL]]</f>
        <v>367.39500000000004</v>
      </c>
      <c r="AA106" s="72">
        <f>UNIFAEL.[[#This Row],[%  SITE]]</f>
        <v>0.4</v>
      </c>
      <c r="AB106" s="73">
        <f>UNIFAEL.[[#This Row],[$ SITE]]</f>
        <v>198.39</v>
      </c>
      <c r="AC106" s="72">
        <f>UNIFAEL.[[#This Row],[%  SGP]]</f>
        <v>0.45</v>
      </c>
      <c r="AD106" s="73">
        <f>UNIFAEL.[[#This Row],[$ SGP]]</f>
        <v>181.86</v>
      </c>
      <c r="AE106" s="69" t="s">
        <v>371</v>
      </c>
      <c r="AF106" s="69" t="s">
        <v>372</v>
      </c>
      <c r="AH106" s="121" t="s">
        <v>365</v>
      </c>
      <c r="AI106" s="69" t="s">
        <v>19</v>
      </c>
      <c r="AJ106" s="69" t="str">
        <f>VLOOKUP(UNAMA.[[#This Row],[PARCELA MATRICULA NÃO PAGA]],'[1]POS_VIVO_0112 a 3101_CAMP. REG)'!$F$115:$G$222,2,FALSE)</f>
        <v>Educação</v>
      </c>
      <c r="AK106" s="69">
        <f>VLOOKUP(UNAMA.[[#This Row],[PARCELA MATRICULA NÃO PAGA]],'[1]POS_VIVO_0112 a 3101_CAMP. REG)'!$F$115:$H$222,3,FALSE)</f>
        <v>12</v>
      </c>
      <c r="AL106" s="69">
        <f>VLOOKUP(UNAMA.[[#This Row],[PARCELA MATRICULA NÃO PAGA]],'[1]POS_VIVO_0112 a 3101_CAMP. REG)'!$F$115:$I$222,4,FALSE)</f>
        <v>19</v>
      </c>
      <c r="AM106" s="71">
        <f>VLOOKUP(UNAMA.[[#This Row],[PARCELA MATRICULA NÃO PAGA]],'[1]POS_VIVO_0112 a 3101_CAMP. REG)'!$F$115:$J$222,5,FALSE)</f>
        <v>404.13450000000006</v>
      </c>
      <c r="AN106" s="123">
        <f>VLOOKUP(UNAMA.[[#This Row],[PARCELA MATRICULA NÃO PAGA]],'[1]POS_VIVO_0112 a 3101_CAMP. REG)'!$F$115:$L$222,7,FALSE)</f>
        <v>0.4</v>
      </c>
      <c r="AO106" s="73">
        <f>VLOOKUP(UNAMA.[[#This Row],[PARCELA MATRICULA NÃO PAGA]],'[1]POS_VIVO_0112 a 3101_CAMP. REG)'!$F$115:$M$222,8,FALSE)</f>
        <v>218.23</v>
      </c>
      <c r="AP106" s="72">
        <f>VLOOKUP(UNAMA.[[#This Row],[PARCELA MATRICULA NÃO PAGA]],'[1]POS_VIVO_0112 a 3101_CAMP. REG)'!$F$115:$P$222,11,FALSE)</f>
        <v>0.45</v>
      </c>
      <c r="AQ106" s="73">
        <f>VLOOKUP(UNAMA.[[#This Row],[PARCELA MATRICULA NÃO PAGA]],'[1]POS_VIVO_0112 a 3101_CAMP. REG)'!$F$115:$Q$222,12,FALSE)</f>
        <v>200.05</v>
      </c>
      <c r="AR106" s="68">
        <f>UNAMA.[[#This Row],[Nº Parcelas]]</f>
        <v>19</v>
      </c>
      <c r="AS106" s="68">
        <f>UNAMA.[[#This Row],[Nº Parcelas normal2]]-1</f>
        <v>18</v>
      </c>
      <c r="AT106" s="71">
        <f>UNAMA.[[#This Row],[$ NORMAL]]</f>
        <v>404.13450000000006</v>
      </c>
      <c r="AU106" s="162">
        <f>UNAMA.[[#This Row],[%  SITE]]</f>
        <v>0.4</v>
      </c>
      <c r="AV106" s="161">
        <f>UNAMA.[[#This Row],[$ SITE]]</f>
        <v>218.23</v>
      </c>
      <c r="AW106" s="162">
        <f>UNAMA.[[#This Row],[%  SGP]]</f>
        <v>0.45</v>
      </c>
      <c r="AX106" s="161">
        <f>UNAMA.[[#This Row],[$ SGP]]</f>
        <v>200.05</v>
      </c>
      <c r="AY106" s="69" t="s">
        <v>351</v>
      </c>
      <c r="AZ106" s="69" t="s">
        <v>372</v>
      </c>
      <c r="BB106" s="121" t="s">
        <v>365</v>
      </c>
      <c r="BC106" s="69" t="s">
        <v>19</v>
      </c>
      <c r="BD106" s="68" t="str">
        <f>VLOOKUP(UNG.[[#This Row],[CURSO]],'[1]POS_VIVO_0112 a 3101_CAMP. REG)'!$F$224:$G$331,2,FALSE)</f>
        <v>Educação</v>
      </c>
      <c r="BE106" s="70">
        <f>VLOOKUP(UNG.[[#This Row],[CURSO]],'[1]POS_VIVO_0112 a 3101_CAMP. REG)'!$F$224:$H$331,3,FALSE)</f>
        <v>12</v>
      </c>
      <c r="BF106" s="70">
        <f>VLOOKUP(UNG.[[#This Row],[CURSO]],'[1]POS_VIVO_0112 a 3101_CAMP. REG)'!$F$224:$I$331,4,FALSE)</f>
        <v>19</v>
      </c>
      <c r="BG106" s="73">
        <f>VLOOKUP(UNG.[[#This Row],[CURSO]],'[1]POS_VIVO_0112 a 3101_CAMP. REG)'!$F$224:$J$331,5,FALSE)</f>
        <v>367.39500000000004</v>
      </c>
      <c r="BH106" s="72">
        <f>VLOOKUP(UNG.[[#This Row],[CURSO]],'[1]POS_VIVO_0112 a 3101_CAMP. REG)'!$F$224:$L$331,7,FALSE)</f>
        <v>0.4</v>
      </c>
      <c r="BI106" s="73">
        <f>VLOOKUP(UNG.[[#This Row],[CURSO]],'[1]POS_VIVO_0112 a 3101_CAMP. REG)'!$F$224:$M$331,8,FALSE)</f>
        <v>198.39</v>
      </c>
      <c r="BJ106" s="72">
        <f>VLOOKUP(UNG.[[#This Row],[CURSO]],'[1]POS_VIVO_0112 a 3101_CAMP. REG)'!$F$224:$P$331,11,FALSE)</f>
        <v>0.45</v>
      </c>
      <c r="BK106" s="73">
        <f>VLOOKUP(UNG.[[#This Row],[CURSO]],'[1]POS_VIVO_0112 a 3101_CAMP. REG)'!$F$224:$Q$331,12,FALSE)</f>
        <v>181.86</v>
      </c>
      <c r="BL106" s="75">
        <f>UNG.[[#This Row],[Nº Parcelas]]</f>
        <v>19</v>
      </c>
      <c r="BM106" s="75">
        <f>UNG.[[#This Row],[Nº Parcelas normal2]]-1</f>
        <v>18</v>
      </c>
      <c r="BN106" s="73">
        <f>UNG.[[#This Row],[$ NORMAL]]</f>
        <v>367.39500000000004</v>
      </c>
      <c r="BO106" s="72">
        <f>UNG.[[#This Row],[%  SITE]]</f>
        <v>0.4</v>
      </c>
      <c r="BP106" s="73">
        <f>UNG.[[#This Row],[$ SITE]]</f>
        <v>198.39</v>
      </c>
      <c r="BQ106" s="72">
        <f>UNG.[[#This Row],[%  SGP]]</f>
        <v>0.45</v>
      </c>
      <c r="BR106" s="73">
        <f>UNG.[[#This Row],[$ SGP]]</f>
        <v>181.86</v>
      </c>
      <c r="BS106" s="69" t="s">
        <v>351</v>
      </c>
      <c r="BT106" s="69" t="s">
        <v>372</v>
      </c>
      <c r="BV106" s="121" t="s">
        <v>365</v>
      </c>
      <c r="BW106" s="69" t="s">
        <v>19</v>
      </c>
      <c r="BX106" s="69" t="str">
        <f>VLOOKUP(UNINASSAU.[[#This Row],[CURSO]],'[1]POS_VIVO_0112 a 3101_CAMP. REG)'!$F$333:$G$447,2,FALSE)</f>
        <v>Educação</v>
      </c>
      <c r="BY106" s="68">
        <f>VLOOKUP(UNINASSAU.[[#This Row],[CURSO]],'[1]POS_VIVO_0112 a 3101_CAMP. REG)'!$F$333:$H$447,3,FALSE)</f>
        <v>12</v>
      </c>
      <c r="BZ106" s="68">
        <f>VLOOKUP(UNINASSAU.[[#This Row],[CURSO]],'[1]POS_VIVO_0112 a 3101_CAMP. REG)'!$F$333:$I$447,4,FALSE)</f>
        <v>19</v>
      </c>
      <c r="CA106" s="73">
        <f>VLOOKUP(UNINASSAU.[[#This Row],[CURSO]],'[1]POS_VIVO_0112 a 3101_CAMP. REG)'!$F$333:$J$447,5,FALSE)</f>
        <v>367.39500000000004</v>
      </c>
      <c r="CB106" s="72">
        <f>VLOOKUP(UNINASSAU.[[#This Row],[CURSO]],'[1]POS_VIVO_0112 a 3101_CAMP. REG)'!$F$333:$L$447,7,FALSE)</f>
        <v>0.4</v>
      </c>
      <c r="CC106" s="73">
        <f>VLOOKUP(UNINASSAU.[[#This Row],[CURSO]],'[1]POS_VIVO_0112 a 3101_CAMP. REG)'!$F$333:$M$447,8,FALSE)</f>
        <v>198.39</v>
      </c>
      <c r="CD106" s="72">
        <f>VLOOKUP(UNINASSAU.[[#This Row],[CURSO]],'[1]POS_VIVO_0112 a 3101_CAMP. REG)'!$F$333:$P$447,11,FALSE)</f>
        <v>0.45</v>
      </c>
      <c r="CE106" s="112">
        <f>VLOOKUP(UNINASSAU.[[#This Row],[CURSO]],'[1]POS_VIVO_0112 a 3101_CAMP. REG)'!$F$333:$Q$447,12,FALSE)</f>
        <v>181.86</v>
      </c>
      <c r="CF106" s="112"/>
      <c r="CG106" s="112"/>
      <c r="CM106" s="69"/>
      <c r="CN106" s="69"/>
      <c r="CP106" s="104">
        <v>103</v>
      </c>
      <c r="CQ106" s="121" t="s">
        <v>344</v>
      </c>
    </row>
    <row r="107" spans="14:95" ht="16.5" customHeight="1" x14ac:dyDescent="0.25">
      <c r="N107" s="121" t="s">
        <v>366</v>
      </c>
      <c r="O107" s="69" t="s">
        <v>19</v>
      </c>
      <c r="P107" s="69" t="str">
        <f>VLOOKUP(UNIFAEL.[[#This Row],[CURSO]],'[1]POS_VIVO_0112 a 3101_CAMP. REG)'!$F$5:$G$113,2,FALSE)</f>
        <v>Educação</v>
      </c>
      <c r="Q107" s="68">
        <f>VLOOKUP(UNIFAEL.[[#This Row],[CURSO]],'[1]POS_VIVO_0112 a 3101_CAMP. REG)'!$F$5:$H$113,3,FALSE)</f>
        <v>12</v>
      </c>
      <c r="R107" s="68">
        <f>VLOOKUP(UNIFAEL.[[#This Row],[CURSO]],'[1]POS_VIVO_0112 a 3101_CAMP. REG)'!$F$5:$I$113,4,FALSE)</f>
        <v>19</v>
      </c>
      <c r="S107" s="73">
        <f>VLOOKUP(UNIFAEL.[[#This Row],[CURSO]],'[1]POS_VIVO_0112 a 3101_CAMP. REG)'!$F$5:$J$113,5,FALSE)</f>
        <v>320.431422</v>
      </c>
      <c r="T107" s="124">
        <f>VLOOKUP(UNIFAEL.[[#This Row],[CURSO]],'[1]POS_VIVO_0112 a 3101_CAMP. REG)'!$F$5:$L$113,7,FALSE)</f>
        <v>0.4</v>
      </c>
      <c r="U107" s="71">
        <f>VLOOKUP(UNIFAEL.[[#This Row],[CURSO]],'[1]POS_VIVO_0112 a 3101_CAMP. REG)'!$F$5:$M$113,8,FALSE)</f>
        <v>173.03</v>
      </c>
      <c r="V107" s="72">
        <f>VLOOKUP(UNIFAEL.[[#This Row],[CURSO]],'[1]POS_VIVO_0112 a 3101_CAMP. REG)'!$F$5:$P$113,11,FALSE)</f>
        <v>0.45</v>
      </c>
      <c r="W107" s="73">
        <f>VLOOKUP(UNIFAEL.[[#This Row],[CURSO]],'[1]POS_VIVO_0112 a 3101_CAMP. REG)'!$F$5:$Q$113,12,FALSE)</f>
        <v>158.61000000000001</v>
      </c>
      <c r="X107" s="75">
        <f>UNIFAEL.[[#This Row],[Nº Parcelas]]</f>
        <v>19</v>
      </c>
      <c r="Y107" s="75">
        <f>UNIFAEL.[[#This Row],[Nº Parcelas normal2]]-1</f>
        <v>18</v>
      </c>
      <c r="Z107" s="73">
        <f>UNIFAEL.[[#This Row],[$ NORMAL]]</f>
        <v>320.431422</v>
      </c>
      <c r="AA107" s="72">
        <f>UNIFAEL.[[#This Row],[%  SITE]]</f>
        <v>0.4</v>
      </c>
      <c r="AB107" s="73">
        <f>UNIFAEL.[[#This Row],[$ SITE]]</f>
        <v>173.03</v>
      </c>
      <c r="AC107" s="72">
        <f>UNIFAEL.[[#This Row],[%  SGP]]</f>
        <v>0.45</v>
      </c>
      <c r="AD107" s="73">
        <f>UNIFAEL.[[#This Row],[$ SGP]]</f>
        <v>158.61000000000001</v>
      </c>
      <c r="AE107" s="69" t="s">
        <v>371</v>
      </c>
      <c r="AF107" s="69" t="s">
        <v>372</v>
      </c>
      <c r="AH107" s="121" t="s">
        <v>366</v>
      </c>
      <c r="AI107" s="69" t="s">
        <v>19</v>
      </c>
      <c r="AJ107" s="69" t="str">
        <f>VLOOKUP(UNAMA.[[#This Row],[PARCELA MATRICULA NÃO PAGA]],'[1]POS_VIVO_0112 a 3101_CAMP. REG)'!$F$115:$G$222,2,FALSE)</f>
        <v>Educação</v>
      </c>
      <c r="AK107" s="69">
        <f>VLOOKUP(UNAMA.[[#This Row],[PARCELA MATRICULA NÃO PAGA]],'[1]POS_VIVO_0112 a 3101_CAMP. REG)'!$F$115:$H$222,3,FALSE)</f>
        <v>12</v>
      </c>
      <c r="AL107" s="69">
        <f>VLOOKUP(UNAMA.[[#This Row],[PARCELA MATRICULA NÃO PAGA]],'[1]POS_VIVO_0112 a 3101_CAMP. REG)'!$F$115:$I$222,4,FALSE)</f>
        <v>19</v>
      </c>
      <c r="AM107" s="71">
        <f>VLOOKUP(UNAMA.[[#This Row],[PARCELA MATRICULA NÃO PAGA]],'[1]POS_VIVO_0112 a 3101_CAMP. REG)'!$F$115:$J$222,5,FALSE)</f>
        <v>352.47456419999997</v>
      </c>
      <c r="AN107" s="123">
        <f>VLOOKUP(UNAMA.[[#This Row],[PARCELA MATRICULA NÃO PAGA]],'[1]POS_VIVO_0112 a 3101_CAMP. REG)'!$F$115:$L$222,7,FALSE)</f>
        <v>0.4</v>
      </c>
      <c r="AO107" s="73">
        <f>VLOOKUP(UNAMA.[[#This Row],[PARCELA MATRICULA NÃO PAGA]],'[1]POS_VIVO_0112 a 3101_CAMP. REG)'!$F$115:$M$222,8,FALSE)</f>
        <v>190.34</v>
      </c>
      <c r="AP107" s="72">
        <f>VLOOKUP(UNAMA.[[#This Row],[PARCELA MATRICULA NÃO PAGA]],'[1]POS_VIVO_0112 a 3101_CAMP. REG)'!$F$115:$P$222,11,FALSE)</f>
        <v>0.45</v>
      </c>
      <c r="AQ107" s="73">
        <f>VLOOKUP(UNAMA.[[#This Row],[PARCELA MATRICULA NÃO PAGA]],'[1]POS_VIVO_0112 a 3101_CAMP. REG)'!$F$115:$Q$222,12,FALSE)</f>
        <v>174.47</v>
      </c>
      <c r="AR107" s="68">
        <f>UNAMA.[[#This Row],[Nº Parcelas]]</f>
        <v>19</v>
      </c>
      <c r="AS107" s="68">
        <f>UNAMA.[[#This Row],[Nº Parcelas normal2]]-1</f>
        <v>18</v>
      </c>
      <c r="AT107" s="71">
        <f>UNAMA.[[#This Row],[$ NORMAL]]</f>
        <v>352.47456419999997</v>
      </c>
      <c r="AU107" s="162">
        <f>UNAMA.[[#This Row],[%  SITE]]</f>
        <v>0.4</v>
      </c>
      <c r="AV107" s="161">
        <f>UNAMA.[[#This Row],[$ SITE]]</f>
        <v>190.34</v>
      </c>
      <c r="AW107" s="162">
        <f>UNAMA.[[#This Row],[%  SGP]]</f>
        <v>0.45</v>
      </c>
      <c r="AX107" s="161">
        <f>UNAMA.[[#This Row],[$ SGP]]</f>
        <v>174.47</v>
      </c>
      <c r="AY107" s="69" t="s">
        <v>351</v>
      </c>
      <c r="AZ107" s="69" t="s">
        <v>372</v>
      </c>
      <c r="BB107" s="121" t="s">
        <v>366</v>
      </c>
      <c r="BC107" s="69" t="s">
        <v>19</v>
      </c>
      <c r="BD107" s="68" t="str">
        <f>VLOOKUP(UNG.[[#This Row],[CURSO]],'[1]POS_VIVO_0112 a 3101_CAMP. REG)'!$F$224:$G$331,2,FALSE)</f>
        <v>Educação</v>
      </c>
      <c r="BE107" s="70">
        <f>VLOOKUP(UNG.[[#This Row],[CURSO]],'[1]POS_VIVO_0112 a 3101_CAMP. REG)'!$F$224:$H$331,3,FALSE)</f>
        <v>12</v>
      </c>
      <c r="BF107" s="70">
        <f>VLOOKUP(UNG.[[#This Row],[CURSO]],'[1]POS_VIVO_0112 a 3101_CAMP. REG)'!$F$224:$I$331,4,FALSE)</f>
        <v>19</v>
      </c>
      <c r="BG107" s="73">
        <f>VLOOKUP(UNG.[[#This Row],[CURSO]],'[1]POS_VIVO_0112 a 3101_CAMP. REG)'!$F$224:$J$331,5,FALSE)</f>
        <v>320.431422</v>
      </c>
      <c r="BH107" s="72">
        <f>VLOOKUP(UNG.[[#This Row],[CURSO]],'[1]POS_VIVO_0112 a 3101_CAMP. REG)'!$F$224:$L$331,7,FALSE)</f>
        <v>0.4</v>
      </c>
      <c r="BI107" s="73">
        <f>VLOOKUP(UNG.[[#This Row],[CURSO]],'[1]POS_VIVO_0112 a 3101_CAMP. REG)'!$F$224:$M$331,8,FALSE)</f>
        <v>173.03</v>
      </c>
      <c r="BJ107" s="72">
        <f>VLOOKUP(UNG.[[#This Row],[CURSO]],'[1]POS_VIVO_0112 a 3101_CAMP. REG)'!$F$224:$P$331,11,FALSE)</f>
        <v>0.45</v>
      </c>
      <c r="BK107" s="73">
        <f>VLOOKUP(UNG.[[#This Row],[CURSO]],'[1]POS_VIVO_0112 a 3101_CAMP. REG)'!$F$224:$Q$331,12,FALSE)</f>
        <v>158.61000000000001</v>
      </c>
      <c r="BL107" s="75">
        <f>UNG.[[#This Row],[Nº Parcelas]]</f>
        <v>19</v>
      </c>
      <c r="BM107" s="75">
        <f>UNG.[[#This Row],[Nº Parcelas normal2]]-1</f>
        <v>18</v>
      </c>
      <c r="BN107" s="73">
        <f>UNG.[[#This Row],[$ NORMAL]]</f>
        <v>320.431422</v>
      </c>
      <c r="BO107" s="72">
        <f>UNG.[[#This Row],[%  SITE]]</f>
        <v>0.4</v>
      </c>
      <c r="BP107" s="73">
        <f>UNG.[[#This Row],[$ SITE]]</f>
        <v>173.03</v>
      </c>
      <c r="BQ107" s="72">
        <f>UNG.[[#This Row],[%  SGP]]</f>
        <v>0.45</v>
      </c>
      <c r="BR107" s="73">
        <f>UNG.[[#This Row],[$ SGP]]</f>
        <v>158.61000000000001</v>
      </c>
      <c r="BS107" s="69" t="s">
        <v>351</v>
      </c>
      <c r="BT107" s="69" t="s">
        <v>372</v>
      </c>
      <c r="BV107" s="121" t="s">
        <v>366</v>
      </c>
      <c r="BW107" s="69" t="s">
        <v>19</v>
      </c>
      <c r="BX107" s="69" t="str">
        <f>VLOOKUP(UNINASSAU.[[#This Row],[CURSO]],'[1]POS_VIVO_0112 a 3101_CAMP. REG)'!$F$333:$G$447,2,FALSE)</f>
        <v>Educação</v>
      </c>
      <c r="BY107" s="68">
        <f>VLOOKUP(UNINASSAU.[[#This Row],[CURSO]],'[1]POS_VIVO_0112 a 3101_CAMP. REG)'!$F$333:$H$447,3,FALSE)</f>
        <v>12</v>
      </c>
      <c r="BZ107" s="68">
        <f>VLOOKUP(UNINASSAU.[[#This Row],[CURSO]],'[1]POS_VIVO_0112 a 3101_CAMP. REG)'!$F$333:$I$447,4,FALSE)</f>
        <v>19</v>
      </c>
      <c r="CA107" s="73">
        <f>VLOOKUP(UNINASSAU.[[#This Row],[CURSO]],'[1]POS_VIVO_0112 a 3101_CAMP. REG)'!$F$333:$J$447,5,FALSE)</f>
        <v>320.431422</v>
      </c>
      <c r="CB107" s="72">
        <f>VLOOKUP(UNINASSAU.[[#This Row],[CURSO]],'[1]POS_VIVO_0112 a 3101_CAMP. REG)'!$F$333:$L$447,7,FALSE)</f>
        <v>0.4</v>
      </c>
      <c r="CC107" s="73">
        <f>VLOOKUP(UNINASSAU.[[#This Row],[CURSO]],'[1]POS_VIVO_0112 a 3101_CAMP. REG)'!$F$333:$M$447,8,FALSE)</f>
        <v>173.03</v>
      </c>
      <c r="CD107" s="72">
        <f>VLOOKUP(UNINASSAU.[[#This Row],[CURSO]],'[1]POS_VIVO_0112 a 3101_CAMP. REG)'!$F$333:$P$447,11,FALSE)</f>
        <v>0.45</v>
      </c>
      <c r="CE107" s="112">
        <f>VLOOKUP(UNINASSAU.[[#This Row],[CURSO]],'[1]POS_VIVO_0112 a 3101_CAMP. REG)'!$F$333:$Q$447,12,FALSE)</f>
        <v>158.61000000000001</v>
      </c>
      <c r="CF107" s="112"/>
      <c r="CG107" s="112"/>
      <c r="CM107" s="69"/>
      <c r="CN107" s="69"/>
      <c r="CP107" s="104">
        <v>104</v>
      </c>
      <c r="CQ107" s="121" t="s">
        <v>299</v>
      </c>
    </row>
    <row r="108" spans="14:95" ht="16.5" customHeight="1" x14ac:dyDescent="0.25">
      <c r="N108" s="121" t="s">
        <v>367</v>
      </c>
      <c r="O108" s="69" t="s">
        <v>19</v>
      </c>
      <c r="P108" s="69" t="str">
        <f>VLOOKUP(UNIFAEL.[[#This Row],[CURSO]],'[1]POS_VIVO_0112 a 3101_CAMP. REG)'!$F$5:$G$113,2,FALSE)</f>
        <v>Educação</v>
      </c>
      <c r="Q108" s="68">
        <f>VLOOKUP(UNIFAEL.[[#This Row],[CURSO]],'[1]POS_VIVO_0112 a 3101_CAMP. REG)'!$F$5:$H$113,3,FALSE)</f>
        <v>12</v>
      </c>
      <c r="R108" s="68">
        <f>VLOOKUP(UNIFAEL.[[#This Row],[CURSO]],'[1]POS_VIVO_0112 a 3101_CAMP. REG)'!$F$5:$I$113,4,FALSE)</f>
        <v>19</v>
      </c>
      <c r="S108" s="73">
        <f>VLOOKUP(UNIFAEL.[[#This Row],[CURSO]],'[1]POS_VIVO_0112 a 3101_CAMP. REG)'!$F$5:$J$113,5,FALSE)</f>
        <v>367.39500000000004</v>
      </c>
      <c r="T108" s="124">
        <f>VLOOKUP(UNIFAEL.[[#This Row],[CURSO]],'[1]POS_VIVO_0112 a 3101_CAMP. REG)'!$F$5:$L$113,7,FALSE)</f>
        <v>0.4</v>
      </c>
      <c r="U108" s="71">
        <f>VLOOKUP(UNIFAEL.[[#This Row],[CURSO]],'[1]POS_VIVO_0112 a 3101_CAMP. REG)'!$F$5:$M$113,8,FALSE)</f>
        <v>198.39</v>
      </c>
      <c r="V108" s="72">
        <f>VLOOKUP(UNIFAEL.[[#This Row],[CURSO]],'[1]POS_VIVO_0112 a 3101_CAMP. REG)'!$F$5:$P$113,11,FALSE)</f>
        <v>0.45</v>
      </c>
      <c r="W108" s="73">
        <f>VLOOKUP(UNIFAEL.[[#This Row],[CURSO]],'[1]POS_VIVO_0112 a 3101_CAMP. REG)'!$F$5:$Q$113,12,FALSE)</f>
        <v>181.86</v>
      </c>
      <c r="X108" s="75">
        <f>UNIFAEL.[[#This Row],[Nº Parcelas]]</f>
        <v>19</v>
      </c>
      <c r="Y108" s="75">
        <f>UNIFAEL.[[#This Row],[Nº Parcelas normal2]]-1</f>
        <v>18</v>
      </c>
      <c r="Z108" s="73">
        <f>UNIFAEL.[[#This Row],[$ NORMAL]]</f>
        <v>367.39500000000004</v>
      </c>
      <c r="AA108" s="72">
        <f>UNIFAEL.[[#This Row],[%  SITE]]</f>
        <v>0.4</v>
      </c>
      <c r="AB108" s="73">
        <f>UNIFAEL.[[#This Row],[$ SITE]]</f>
        <v>198.39</v>
      </c>
      <c r="AC108" s="72">
        <f>UNIFAEL.[[#This Row],[%  SGP]]</f>
        <v>0.45</v>
      </c>
      <c r="AD108" s="73">
        <f>UNIFAEL.[[#This Row],[$ SGP]]</f>
        <v>181.86</v>
      </c>
      <c r="AE108" s="69" t="s">
        <v>371</v>
      </c>
      <c r="AF108" s="69" t="s">
        <v>372</v>
      </c>
      <c r="AH108" s="121" t="s">
        <v>367</v>
      </c>
      <c r="AI108" s="69" t="s">
        <v>19</v>
      </c>
      <c r="AJ108" s="69" t="str">
        <f>VLOOKUP(UNAMA.[[#This Row],[PARCELA MATRICULA NÃO PAGA]],'[1]POS_VIVO_0112 a 3101_CAMP. REG)'!$F$115:$G$222,2,FALSE)</f>
        <v>Educação</v>
      </c>
      <c r="AK108" s="69">
        <f>VLOOKUP(UNAMA.[[#This Row],[PARCELA MATRICULA NÃO PAGA]],'[1]POS_VIVO_0112 a 3101_CAMP. REG)'!$F$115:$H$222,3,FALSE)</f>
        <v>12</v>
      </c>
      <c r="AL108" s="69">
        <f>VLOOKUP(UNAMA.[[#This Row],[PARCELA MATRICULA NÃO PAGA]],'[1]POS_VIVO_0112 a 3101_CAMP. REG)'!$F$115:$I$222,4,FALSE)</f>
        <v>19</v>
      </c>
      <c r="AM108" s="71">
        <f>VLOOKUP(UNAMA.[[#This Row],[PARCELA MATRICULA NÃO PAGA]],'[1]POS_VIVO_0112 a 3101_CAMP. REG)'!$F$115:$J$222,5,FALSE)</f>
        <v>404.13450000000006</v>
      </c>
      <c r="AN108" s="123">
        <f>VLOOKUP(UNAMA.[[#This Row],[PARCELA MATRICULA NÃO PAGA]],'[1]POS_VIVO_0112 a 3101_CAMP. REG)'!$F$115:$L$222,7,FALSE)</f>
        <v>0.4</v>
      </c>
      <c r="AO108" s="73">
        <f>VLOOKUP(UNAMA.[[#This Row],[PARCELA MATRICULA NÃO PAGA]],'[1]POS_VIVO_0112 a 3101_CAMP. REG)'!$F$115:$M$222,8,FALSE)</f>
        <v>218.23</v>
      </c>
      <c r="AP108" s="72">
        <f>VLOOKUP(UNAMA.[[#This Row],[PARCELA MATRICULA NÃO PAGA]],'[1]POS_VIVO_0112 a 3101_CAMP. REG)'!$F$115:$P$222,11,FALSE)</f>
        <v>0.45</v>
      </c>
      <c r="AQ108" s="73">
        <f>VLOOKUP(UNAMA.[[#This Row],[PARCELA MATRICULA NÃO PAGA]],'[1]POS_VIVO_0112 a 3101_CAMP. REG)'!$F$115:$Q$222,12,FALSE)</f>
        <v>200.05</v>
      </c>
      <c r="AR108" s="68">
        <f>UNAMA.[[#This Row],[Nº Parcelas]]</f>
        <v>19</v>
      </c>
      <c r="AS108" s="68">
        <f>UNAMA.[[#This Row],[Nº Parcelas normal2]]-1</f>
        <v>18</v>
      </c>
      <c r="AT108" s="71">
        <f>UNAMA.[[#This Row],[$ NORMAL]]</f>
        <v>404.13450000000006</v>
      </c>
      <c r="AU108" s="162">
        <f>UNAMA.[[#This Row],[%  SITE]]</f>
        <v>0.4</v>
      </c>
      <c r="AV108" s="161">
        <f>UNAMA.[[#This Row],[$ SITE]]</f>
        <v>218.23</v>
      </c>
      <c r="AW108" s="162">
        <f>UNAMA.[[#This Row],[%  SGP]]</f>
        <v>0.45</v>
      </c>
      <c r="AX108" s="161">
        <f>UNAMA.[[#This Row],[$ SGP]]</f>
        <v>200.05</v>
      </c>
      <c r="AY108" s="69" t="s">
        <v>351</v>
      </c>
      <c r="AZ108" s="69" t="s">
        <v>372</v>
      </c>
      <c r="BB108" s="121" t="s">
        <v>367</v>
      </c>
      <c r="BC108" s="69" t="s">
        <v>19</v>
      </c>
      <c r="BD108" s="68" t="str">
        <f>VLOOKUP(UNG.[[#This Row],[CURSO]],'[1]POS_VIVO_0112 a 3101_CAMP. REG)'!$F$224:$G$331,2,FALSE)</f>
        <v>Educação</v>
      </c>
      <c r="BE108" s="70">
        <f>VLOOKUP(UNG.[[#This Row],[CURSO]],'[1]POS_VIVO_0112 a 3101_CAMP. REG)'!$F$224:$H$331,3,FALSE)</f>
        <v>12</v>
      </c>
      <c r="BF108" s="70">
        <f>VLOOKUP(UNG.[[#This Row],[CURSO]],'[1]POS_VIVO_0112 a 3101_CAMP. REG)'!$F$224:$I$331,4,FALSE)</f>
        <v>19</v>
      </c>
      <c r="BG108" s="73">
        <f>VLOOKUP(UNG.[[#This Row],[CURSO]],'[1]POS_VIVO_0112 a 3101_CAMP. REG)'!$F$224:$J$331,5,FALSE)</f>
        <v>367.39500000000004</v>
      </c>
      <c r="BH108" s="72">
        <f>VLOOKUP(UNG.[[#This Row],[CURSO]],'[1]POS_VIVO_0112 a 3101_CAMP. REG)'!$F$224:$L$331,7,FALSE)</f>
        <v>0.4</v>
      </c>
      <c r="BI108" s="73">
        <f>VLOOKUP(UNG.[[#This Row],[CURSO]],'[1]POS_VIVO_0112 a 3101_CAMP. REG)'!$F$224:$M$331,8,FALSE)</f>
        <v>198.39</v>
      </c>
      <c r="BJ108" s="72">
        <f>VLOOKUP(UNG.[[#This Row],[CURSO]],'[1]POS_VIVO_0112 a 3101_CAMP. REG)'!$F$224:$P$331,11,FALSE)</f>
        <v>0.45</v>
      </c>
      <c r="BK108" s="73">
        <f>VLOOKUP(UNG.[[#This Row],[CURSO]],'[1]POS_VIVO_0112 a 3101_CAMP. REG)'!$F$224:$Q$331,12,FALSE)</f>
        <v>181.86</v>
      </c>
      <c r="BL108" s="75">
        <f>UNG.[[#This Row],[Nº Parcelas]]</f>
        <v>19</v>
      </c>
      <c r="BM108" s="75">
        <f>UNG.[[#This Row],[Nº Parcelas normal2]]-1</f>
        <v>18</v>
      </c>
      <c r="BN108" s="73">
        <f>UNG.[[#This Row],[$ NORMAL]]</f>
        <v>367.39500000000004</v>
      </c>
      <c r="BO108" s="72">
        <f>UNG.[[#This Row],[%  SITE]]</f>
        <v>0.4</v>
      </c>
      <c r="BP108" s="73">
        <f>UNG.[[#This Row],[$ SITE]]</f>
        <v>198.39</v>
      </c>
      <c r="BQ108" s="72">
        <f>UNG.[[#This Row],[%  SGP]]</f>
        <v>0.45</v>
      </c>
      <c r="BR108" s="73">
        <f>UNG.[[#This Row],[$ SGP]]</f>
        <v>181.86</v>
      </c>
      <c r="BS108" s="69" t="s">
        <v>351</v>
      </c>
      <c r="BT108" s="69" t="s">
        <v>372</v>
      </c>
      <c r="BV108" s="121" t="s">
        <v>367</v>
      </c>
      <c r="BW108" s="69" t="s">
        <v>19</v>
      </c>
      <c r="BX108" s="69" t="str">
        <f>VLOOKUP(UNINASSAU.[[#This Row],[CURSO]],'[1]POS_VIVO_0112 a 3101_CAMP. REG)'!$F$333:$G$447,2,FALSE)</f>
        <v>Educação</v>
      </c>
      <c r="BY108" s="68">
        <f>VLOOKUP(UNINASSAU.[[#This Row],[CURSO]],'[1]POS_VIVO_0112 a 3101_CAMP. REG)'!$F$333:$H$447,3,FALSE)</f>
        <v>12</v>
      </c>
      <c r="BZ108" s="68">
        <f>VLOOKUP(UNINASSAU.[[#This Row],[CURSO]],'[1]POS_VIVO_0112 a 3101_CAMP. REG)'!$F$333:$I$447,4,FALSE)</f>
        <v>19</v>
      </c>
      <c r="CA108" s="73">
        <f>VLOOKUP(UNINASSAU.[[#This Row],[CURSO]],'[1]POS_VIVO_0112 a 3101_CAMP. REG)'!$F$333:$J$447,5,FALSE)</f>
        <v>367.39500000000004</v>
      </c>
      <c r="CB108" s="72">
        <f>VLOOKUP(UNINASSAU.[[#This Row],[CURSO]],'[1]POS_VIVO_0112 a 3101_CAMP. REG)'!$F$333:$L$447,7,FALSE)</f>
        <v>0.4</v>
      </c>
      <c r="CC108" s="73">
        <f>VLOOKUP(UNINASSAU.[[#This Row],[CURSO]],'[1]POS_VIVO_0112 a 3101_CAMP. REG)'!$F$333:$M$447,8,FALSE)</f>
        <v>198.39</v>
      </c>
      <c r="CD108" s="72">
        <f>VLOOKUP(UNINASSAU.[[#This Row],[CURSO]],'[1]POS_VIVO_0112 a 3101_CAMP. REG)'!$F$333:$P$447,11,FALSE)</f>
        <v>0.45</v>
      </c>
      <c r="CE108" s="73">
        <f>VLOOKUP(UNINASSAU.[[#This Row],[CURSO]],'[1]POS_VIVO_0112 a 3101_CAMP. REG)'!$F$333:$Q$447,12,FALSE)</f>
        <v>181.86</v>
      </c>
      <c r="CM108" s="69"/>
      <c r="CN108" s="69"/>
      <c r="CP108" s="104">
        <v>105</v>
      </c>
      <c r="CQ108" s="121" t="s">
        <v>238</v>
      </c>
    </row>
    <row r="109" spans="14:95" ht="16.5" customHeight="1" x14ac:dyDescent="0.25">
      <c r="N109" s="121" t="s">
        <v>368</v>
      </c>
      <c r="O109" s="69" t="s">
        <v>19</v>
      </c>
      <c r="P109" s="69" t="str">
        <f>VLOOKUP(UNIFAEL.[[#This Row],[CURSO]],'[1]POS_VIVO_0112 a 3101_CAMP. REG)'!$F$5:$G$113,2,FALSE)</f>
        <v>Gestão</v>
      </c>
      <c r="Q109" s="68">
        <f>VLOOKUP(UNIFAEL.[[#This Row],[CURSO]],'[1]POS_VIVO_0112 a 3101_CAMP. REG)'!$F$5:$H$113,3,FALSE)</f>
        <v>12</v>
      </c>
      <c r="R109" s="68">
        <f>VLOOKUP(UNIFAEL.[[#This Row],[CURSO]],'[1]POS_VIVO_0112 a 3101_CAMP. REG)'!$F$5:$I$113,4,FALSE)</f>
        <v>19</v>
      </c>
      <c r="S109" s="73">
        <f>VLOOKUP(UNIFAEL.[[#This Row],[CURSO]],'[1]POS_VIVO_0112 a 3101_CAMP. REG)'!$F$5:$J$113,5,FALSE)</f>
        <v>320.60000000000002</v>
      </c>
      <c r="T109" s="124">
        <f>VLOOKUP(UNIFAEL.[[#This Row],[CURSO]],'[1]POS_VIVO_0112 a 3101_CAMP. REG)'!$F$5:$L$113,7,FALSE)</f>
        <v>0.4</v>
      </c>
      <c r="U109" s="71">
        <f>VLOOKUP(UNIFAEL.[[#This Row],[CURSO]],'[1]POS_VIVO_0112 a 3101_CAMP. REG)'!$F$5:$M$113,8,FALSE)</f>
        <v>173.12</v>
      </c>
      <c r="V109" s="72">
        <f>VLOOKUP(UNIFAEL.[[#This Row],[CURSO]],'[1]POS_VIVO_0112 a 3101_CAMP. REG)'!$F$5:$P$113,11,FALSE)</f>
        <v>0.45</v>
      </c>
      <c r="W109" s="73">
        <f>VLOOKUP(UNIFAEL.[[#This Row],[CURSO]],'[1]POS_VIVO_0112 a 3101_CAMP. REG)'!$F$5:$Q$113,12,FALSE)</f>
        <v>158.69999999999999</v>
      </c>
      <c r="X109" s="75">
        <f>UNIFAEL.[[#This Row],[Nº Parcelas]]</f>
        <v>19</v>
      </c>
      <c r="Y109" s="75">
        <f>UNIFAEL.[[#This Row],[Nº Parcelas normal2]]-1</f>
        <v>18</v>
      </c>
      <c r="Z109" s="73">
        <f>UNIFAEL.[[#This Row],[$ NORMAL]]</f>
        <v>320.60000000000002</v>
      </c>
      <c r="AA109" s="72">
        <f>UNIFAEL.[[#This Row],[%  SITE]]</f>
        <v>0.4</v>
      </c>
      <c r="AB109" s="73">
        <f>UNIFAEL.[[#This Row],[$ SITE]]</f>
        <v>173.12</v>
      </c>
      <c r="AC109" s="72">
        <f>UNIFAEL.[[#This Row],[%  SGP]]</f>
        <v>0.45</v>
      </c>
      <c r="AD109" s="73">
        <f>UNIFAEL.[[#This Row],[$ SGP]]</f>
        <v>158.69999999999999</v>
      </c>
      <c r="AE109" s="69" t="s">
        <v>371</v>
      </c>
      <c r="AF109" s="69" t="s">
        <v>372</v>
      </c>
      <c r="AH109" s="121" t="s">
        <v>368</v>
      </c>
      <c r="AI109" s="69" t="s">
        <v>19</v>
      </c>
      <c r="AJ109" s="69" t="str">
        <f>VLOOKUP(UNAMA.[[#This Row],[PARCELA MATRICULA NÃO PAGA]],'[1]POS_VIVO_0112 a 3101_CAMP. REG)'!$F$115:$G$222,2,FALSE)</f>
        <v>Gestão</v>
      </c>
      <c r="AK109" s="69">
        <f>VLOOKUP(UNAMA.[[#This Row],[PARCELA MATRICULA NÃO PAGA]],'[1]POS_VIVO_0112 a 3101_CAMP. REG)'!$F$115:$H$222,3,FALSE)</f>
        <v>12</v>
      </c>
      <c r="AL109" s="69">
        <f>VLOOKUP(UNAMA.[[#This Row],[PARCELA MATRICULA NÃO PAGA]],'[1]POS_VIVO_0112 a 3101_CAMP. REG)'!$F$115:$I$222,4,FALSE)</f>
        <v>19</v>
      </c>
      <c r="AM109" s="71">
        <f>VLOOKUP(UNAMA.[[#This Row],[PARCELA MATRICULA NÃO PAGA]],'[1]POS_VIVO_0112 a 3101_CAMP. REG)'!$F$115:$J$222,5,FALSE)</f>
        <v>352.67</v>
      </c>
      <c r="AN109" s="123">
        <f>VLOOKUP(UNAMA.[[#This Row],[PARCELA MATRICULA NÃO PAGA]],'[1]POS_VIVO_0112 a 3101_CAMP. REG)'!$F$115:$L$222,7,FALSE)</f>
        <v>0.4</v>
      </c>
      <c r="AO109" s="73">
        <f>VLOOKUP(UNAMA.[[#This Row],[PARCELA MATRICULA NÃO PAGA]],'[1]POS_VIVO_0112 a 3101_CAMP. REG)'!$F$115:$M$222,8,FALSE)</f>
        <v>190.44</v>
      </c>
      <c r="AP109" s="72">
        <f>VLOOKUP(UNAMA.[[#This Row],[PARCELA MATRICULA NÃO PAGA]],'[1]POS_VIVO_0112 a 3101_CAMP. REG)'!$F$115:$P$222,11,FALSE)</f>
        <v>0.45</v>
      </c>
      <c r="AQ109" s="73">
        <f>VLOOKUP(UNAMA.[[#This Row],[PARCELA MATRICULA NÃO PAGA]],'[1]POS_VIVO_0112 a 3101_CAMP. REG)'!$F$115:$Q$222,12,FALSE)</f>
        <v>174.57</v>
      </c>
      <c r="AR109" s="68">
        <f>UNAMA.[[#This Row],[Nº Parcelas]]</f>
        <v>19</v>
      </c>
      <c r="AS109" s="68">
        <f>UNAMA.[[#This Row],[Nº Parcelas normal2]]-1</f>
        <v>18</v>
      </c>
      <c r="AT109" s="71">
        <f>UNAMA.[[#This Row],[$ NORMAL]]</f>
        <v>352.67</v>
      </c>
      <c r="AU109" s="162">
        <f>UNAMA.[[#This Row],[%  SITE]]</f>
        <v>0.4</v>
      </c>
      <c r="AV109" s="161">
        <f>UNAMA.[[#This Row],[$ SITE]]</f>
        <v>190.44</v>
      </c>
      <c r="AW109" s="162">
        <f>UNAMA.[[#This Row],[%  SGP]]</f>
        <v>0.45</v>
      </c>
      <c r="AX109" s="161">
        <f>UNAMA.[[#This Row],[$ SGP]]</f>
        <v>174.57</v>
      </c>
      <c r="AY109" s="69" t="s">
        <v>351</v>
      </c>
      <c r="AZ109" s="69" t="s">
        <v>372</v>
      </c>
      <c r="BB109" s="121" t="s">
        <v>368</v>
      </c>
      <c r="BC109" s="69" t="s">
        <v>19</v>
      </c>
      <c r="BD109" s="68" t="str">
        <f>VLOOKUP(UNG.[[#This Row],[CURSO]],'[1]POS_VIVO_0112 a 3101_CAMP. REG)'!$F$224:$G$331,2,FALSE)</f>
        <v>Gestão</v>
      </c>
      <c r="BE109" s="70">
        <f>VLOOKUP(UNG.[[#This Row],[CURSO]],'[1]POS_VIVO_0112 a 3101_CAMP. REG)'!$F$224:$H$331,3,FALSE)</f>
        <v>12</v>
      </c>
      <c r="BF109" s="70">
        <f>VLOOKUP(UNG.[[#This Row],[CURSO]],'[1]POS_VIVO_0112 a 3101_CAMP. REG)'!$F$224:$I$331,4,FALSE)</f>
        <v>19</v>
      </c>
      <c r="BG109" s="73">
        <f>VLOOKUP(UNG.[[#This Row],[CURSO]],'[1]POS_VIVO_0112 a 3101_CAMP. REG)'!$F$224:$J$331,5,FALSE)</f>
        <v>320.60000000000002</v>
      </c>
      <c r="BH109" s="72">
        <f>VLOOKUP(UNG.[[#This Row],[CURSO]],'[1]POS_VIVO_0112 a 3101_CAMP. REG)'!$F$224:$L$331,7,FALSE)</f>
        <v>0.4</v>
      </c>
      <c r="BI109" s="73">
        <f>VLOOKUP(UNG.[[#This Row],[CURSO]],'[1]POS_VIVO_0112 a 3101_CAMP. REG)'!$F$224:$M$331,8,FALSE)</f>
        <v>173.12</v>
      </c>
      <c r="BJ109" s="72">
        <f>VLOOKUP(UNG.[[#This Row],[CURSO]],'[1]POS_VIVO_0112 a 3101_CAMP. REG)'!$F$224:$P$331,11,FALSE)</f>
        <v>0.45</v>
      </c>
      <c r="BK109" s="73">
        <f>VLOOKUP(UNG.[[#This Row],[CURSO]],'[1]POS_VIVO_0112 a 3101_CAMP. REG)'!$F$224:$Q$331,12,FALSE)</f>
        <v>158.69999999999999</v>
      </c>
      <c r="BL109" s="75">
        <f>UNG.[[#This Row],[Nº Parcelas]]</f>
        <v>19</v>
      </c>
      <c r="BM109" s="75">
        <f>UNG.[[#This Row],[Nº Parcelas normal2]]-1</f>
        <v>18</v>
      </c>
      <c r="BN109" s="73">
        <f>UNG.[[#This Row],[$ NORMAL]]</f>
        <v>320.60000000000002</v>
      </c>
      <c r="BO109" s="72">
        <f>UNG.[[#This Row],[%  SITE]]</f>
        <v>0.4</v>
      </c>
      <c r="BP109" s="73">
        <f>UNG.[[#This Row],[$ SITE]]</f>
        <v>173.12</v>
      </c>
      <c r="BQ109" s="72">
        <f>UNG.[[#This Row],[%  SGP]]</f>
        <v>0.45</v>
      </c>
      <c r="BR109" s="73">
        <f>UNG.[[#This Row],[$ SGP]]</f>
        <v>158.69999999999999</v>
      </c>
      <c r="BS109" s="69" t="s">
        <v>351</v>
      </c>
      <c r="BT109" s="69" t="s">
        <v>372</v>
      </c>
      <c r="BV109" s="121" t="s">
        <v>368</v>
      </c>
      <c r="BW109" s="69" t="s">
        <v>19</v>
      </c>
      <c r="BX109" s="69" t="str">
        <f>VLOOKUP(UNINASSAU.[[#This Row],[CURSO]],'[1]POS_VIVO_0112 a 3101_CAMP. REG)'!$F$333:$G$447,2,FALSE)</f>
        <v>Gestão</v>
      </c>
      <c r="BY109" s="68">
        <f>VLOOKUP(UNINASSAU.[[#This Row],[CURSO]],'[1]POS_VIVO_0112 a 3101_CAMP. REG)'!$F$333:$H$447,3,FALSE)</f>
        <v>12</v>
      </c>
      <c r="BZ109" s="68">
        <f>VLOOKUP(UNINASSAU.[[#This Row],[CURSO]],'[1]POS_VIVO_0112 a 3101_CAMP. REG)'!$F$333:$I$447,4,FALSE)</f>
        <v>19</v>
      </c>
      <c r="CA109" s="73">
        <f>VLOOKUP(UNINASSAU.[[#This Row],[CURSO]],'[1]POS_VIVO_0112 a 3101_CAMP. REG)'!$F$333:$J$447,5,FALSE)</f>
        <v>320.60000000000002</v>
      </c>
      <c r="CB109" s="72">
        <f>VLOOKUP(UNINASSAU.[[#This Row],[CURSO]],'[1]POS_VIVO_0112 a 3101_CAMP. REG)'!$F$333:$L$447,7,FALSE)</f>
        <v>0.4</v>
      </c>
      <c r="CC109" s="73">
        <f>VLOOKUP(UNINASSAU.[[#This Row],[CURSO]],'[1]POS_VIVO_0112 a 3101_CAMP. REG)'!$F$333:$M$447,8,FALSE)</f>
        <v>173.12</v>
      </c>
      <c r="CD109" s="72">
        <f>VLOOKUP(UNINASSAU.[[#This Row],[CURSO]],'[1]POS_VIVO_0112 a 3101_CAMP. REG)'!$F$333:$P$447,11,FALSE)</f>
        <v>0.45</v>
      </c>
      <c r="CE109" s="73">
        <f>VLOOKUP(UNINASSAU.[[#This Row],[CURSO]],'[1]POS_VIVO_0112 a 3101_CAMP. REG)'!$F$333:$Q$447,12,FALSE)</f>
        <v>158.69999999999999</v>
      </c>
      <c r="CM109" s="69"/>
      <c r="CN109" s="69"/>
      <c r="CP109" s="104">
        <v>106</v>
      </c>
      <c r="CQ109" s="121" t="s">
        <v>303</v>
      </c>
    </row>
    <row r="110" spans="14:95" ht="16.5" customHeight="1" x14ac:dyDescent="0.25">
      <c r="N110" s="163" t="s">
        <v>346</v>
      </c>
      <c r="O110" s="69" t="s">
        <v>20</v>
      </c>
      <c r="S110" s="73"/>
      <c r="T110" s="124"/>
      <c r="V110" s="72"/>
      <c r="W110" s="73"/>
      <c r="Z110" s="73"/>
      <c r="AB110" s="73"/>
      <c r="AD110" s="73"/>
      <c r="AE110" s="69"/>
      <c r="AF110" s="69"/>
      <c r="AH110" s="121" t="s">
        <v>346</v>
      </c>
      <c r="AI110" s="69" t="s">
        <v>20</v>
      </c>
      <c r="AK110" s="69"/>
      <c r="AL110" s="69"/>
      <c r="AN110" s="123"/>
      <c r="AP110" s="72"/>
      <c r="AR110" s="68"/>
      <c r="AS110" s="68"/>
      <c r="AT110" s="71"/>
      <c r="AU110" s="162"/>
      <c r="AV110" s="161"/>
      <c r="AW110" s="162"/>
      <c r="AX110" s="161"/>
      <c r="AY110" s="69"/>
      <c r="AZ110" s="69"/>
      <c r="BB110" s="121" t="s">
        <v>346</v>
      </c>
      <c r="BC110" s="69" t="s">
        <v>20</v>
      </c>
      <c r="BD110" s="68"/>
      <c r="BE110" s="70"/>
      <c r="BF110" s="70"/>
      <c r="BS110" s="69"/>
      <c r="BT110" s="69"/>
      <c r="BV110" s="121" t="s">
        <v>346</v>
      </c>
      <c r="BW110" s="69" t="s">
        <v>19</v>
      </c>
      <c r="BX110" s="69" t="str">
        <f>VLOOKUP(UNINASSAU.[[#This Row],[CURSO]],'[1]POS_VIVO_0112 a 3101_CAMP. REG)'!$F$333:$G$447,2,FALSE)</f>
        <v>Saúde</v>
      </c>
      <c r="BY110" s="68">
        <f>VLOOKUP(UNINASSAU.[[#This Row],[CURSO]],'[1]POS_VIVO_0112 a 3101_CAMP. REG)'!$F$333:$H$447,3,FALSE)</f>
        <v>12</v>
      </c>
      <c r="BZ110" s="68">
        <f>VLOOKUP(UNINASSAU.[[#This Row],[CURSO]],'[1]POS_VIVO_0112 a 3101_CAMP. REG)'!$F$333:$I$447,4,FALSE)</f>
        <v>24</v>
      </c>
      <c r="CA110" s="73">
        <f>VLOOKUP(UNINASSAU.[[#This Row],[CURSO]],'[1]POS_VIVO_0112 a 3101_CAMP. REG)'!$F$333:$J$447,5,FALSE)</f>
        <v>1028.7060000000001</v>
      </c>
      <c r="CB110" s="124" t="s">
        <v>373</v>
      </c>
      <c r="CC110" s="73">
        <f>VLOOKUP(UNINASSAU.[[#This Row],[CURSO]],'[1]POS_VIVO_0112 a 3101_CAMP. REG)'!$F$333:$M$447,8,FALSE)</f>
        <v>925.84</v>
      </c>
      <c r="CD110" s="124" t="s">
        <v>373</v>
      </c>
      <c r="CE110" s="73">
        <f>VLOOKUP(UNINASSAU.[[#This Row],[CURSO]],'[1]POS_VIVO_0112 a 3101_CAMP. REG)'!$F$333:$Q$447,12,FALSE)</f>
        <v>925.84</v>
      </c>
      <c r="CM110" s="69"/>
      <c r="CN110" s="69"/>
      <c r="CP110" s="104">
        <v>107</v>
      </c>
      <c r="CQ110" s="121" t="s">
        <v>279</v>
      </c>
    </row>
    <row r="111" spans="14:95" ht="16.5" customHeight="1" x14ac:dyDescent="0.25">
      <c r="N111" s="163" t="s">
        <v>325</v>
      </c>
      <c r="O111" s="69" t="s">
        <v>20</v>
      </c>
      <c r="P111" s="129"/>
      <c r="Q111" s="147"/>
      <c r="R111" s="147"/>
      <c r="S111" s="73"/>
      <c r="T111" s="124"/>
      <c r="U111" s="155"/>
      <c r="V111" s="156"/>
      <c r="W111" s="157"/>
      <c r="X111" s="158"/>
      <c r="Y111" s="158"/>
      <c r="Z111" s="157"/>
      <c r="AA111" s="156"/>
      <c r="AB111" s="157"/>
      <c r="AC111" s="156"/>
      <c r="AD111" s="157"/>
      <c r="AE111" s="69"/>
      <c r="AF111" s="69"/>
      <c r="AH111" s="121" t="s">
        <v>325</v>
      </c>
      <c r="AI111" s="69" t="s">
        <v>20</v>
      </c>
      <c r="AK111" s="69"/>
      <c r="AL111" s="69"/>
      <c r="AM111" s="155"/>
      <c r="AN111" s="123"/>
      <c r="AO111" s="157"/>
      <c r="AP111" s="156"/>
      <c r="AR111" s="68"/>
      <c r="AS111" s="68"/>
      <c r="AT111" s="71"/>
      <c r="AU111" s="162"/>
      <c r="AV111" s="161"/>
      <c r="AW111" s="162"/>
      <c r="AX111" s="161"/>
      <c r="AY111" s="69"/>
      <c r="AZ111" s="69"/>
      <c r="BB111" s="121" t="s">
        <v>325</v>
      </c>
      <c r="BC111" s="69" t="s">
        <v>20</v>
      </c>
      <c r="BD111" s="147"/>
      <c r="BE111" s="159"/>
      <c r="BF111" s="159"/>
      <c r="BG111" s="157"/>
      <c r="BH111" s="156"/>
      <c r="BI111" s="157"/>
      <c r="BJ111" s="156"/>
      <c r="BK111" s="157"/>
      <c r="BL111" s="158"/>
      <c r="BM111" s="158"/>
      <c r="BN111" s="157"/>
      <c r="BO111" s="156"/>
      <c r="BP111" s="157"/>
      <c r="BQ111" s="156"/>
      <c r="BR111" s="157"/>
      <c r="BS111" s="69"/>
      <c r="BT111" s="69"/>
      <c r="BV111" s="121" t="s">
        <v>325</v>
      </c>
      <c r="BW111" s="69" t="s">
        <v>19</v>
      </c>
      <c r="BX111" s="129" t="str">
        <f>VLOOKUP(UNINASSAU.[[#This Row],[CURSO]],'[1]POS_VIVO_0112 a 3101_CAMP. REG)'!$F$333:$G$447,2,FALSE)</f>
        <v>Saúde</v>
      </c>
      <c r="BY111" s="147">
        <f>VLOOKUP(UNINASSAU.[[#This Row],[CURSO]],'[1]POS_VIVO_0112 a 3101_CAMP. REG)'!$F$333:$H$447,3,FALSE)</f>
        <v>12</v>
      </c>
      <c r="BZ111" s="147">
        <f>VLOOKUP(UNINASSAU.[[#This Row],[CURSO]],'[1]POS_VIVO_0112 a 3101_CAMP. REG)'!$F$333:$I$447,4,FALSE)</f>
        <v>24</v>
      </c>
      <c r="CA111" s="157">
        <f>VLOOKUP(UNINASSAU.[[#This Row],[CURSO]],'[1]POS_VIVO_0112 a 3101_CAMP. REG)'!$F$333:$J$447,5,FALSE)</f>
        <v>1028.7060000000001</v>
      </c>
      <c r="CB111" s="124" t="s">
        <v>373</v>
      </c>
      <c r="CC111" s="157">
        <f>VLOOKUP(UNINASSAU.[[#This Row],[CURSO]],'[1]POS_VIVO_0112 a 3101_CAMP. REG)'!$F$333:$M$447,8,FALSE)</f>
        <v>925.84</v>
      </c>
      <c r="CD111" s="124" t="s">
        <v>373</v>
      </c>
      <c r="CE111" s="157">
        <f>VLOOKUP(UNINASSAU.[[#This Row],[CURSO]],'[1]POS_VIVO_0112 a 3101_CAMP. REG)'!$F$333:$Q$447,12,FALSE)</f>
        <v>925.84</v>
      </c>
      <c r="CF111" s="158"/>
      <c r="CG111" s="158"/>
      <c r="CH111" s="157"/>
      <c r="CI111" s="156"/>
      <c r="CJ111" s="157"/>
      <c r="CK111" s="156"/>
      <c r="CL111" s="157"/>
      <c r="CM111" s="69"/>
      <c r="CN111" s="69"/>
      <c r="CP111" s="104">
        <v>108</v>
      </c>
      <c r="CQ111" s="121" t="s">
        <v>290</v>
      </c>
    </row>
    <row r="112" spans="14:95" ht="16.5" customHeight="1" x14ac:dyDescent="0.25">
      <c r="N112" s="163" t="s">
        <v>347</v>
      </c>
      <c r="O112" s="69" t="s">
        <v>20</v>
      </c>
      <c r="P112" s="129"/>
      <c r="Q112" s="147"/>
      <c r="R112" s="147"/>
      <c r="S112" s="73"/>
      <c r="T112" s="124"/>
      <c r="U112" s="155"/>
      <c r="V112" s="156"/>
      <c r="W112" s="157"/>
      <c r="X112" s="158"/>
      <c r="Y112" s="158"/>
      <c r="Z112" s="157"/>
      <c r="AA112" s="156"/>
      <c r="AB112" s="157"/>
      <c r="AC112" s="156"/>
      <c r="AD112" s="157"/>
      <c r="AE112" s="69"/>
      <c r="AF112" s="69"/>
      <c r="AH112" s="121" t="s">
        <v>347</v>
      </c>
      <c r="AI112" s="69" t="s">
        <v>20</v>
      </c>
      <c r="AK112" s="69"/>
      <c r="AL112" s="69"/>
      <c r="AM112" s="155"/>
      <c r="AN112" s="123"/>
      <c r="AO112" s="157"/>
      <c r="AP112" s="156"/>
      <c r="AR112" s="68"/>
      <c r="AS112" s="68"/>
      <c r="AT112" s="71"/>
      <c r="AU112" s="162"/>
      <c r="AV112" s="161"/>
      <c r="AW112" s="162"/>
      <c r="AX112" s="161"/>
      <c r="AY112" s="69"/>
      <c r="AZ112" s="69"/>
      <c r="BB112" s="121" t="s">
        <v>347</v>
      </c>
      <c r="BC112" s="69" t="s">
        <v>20</v>
      </c>
      <c r="BD112" s="147"/>
      <c r="BE112" s="159"/>
      <c r="BF112" s="159"/>
      <c r="BG112" s="157"/>
      <c r="BH112" s="156"/>
      <c r="BI112" s="157"/>
      <c r="BJ112" s="156"/>
      <c r="BK112" s="157"/>
      <c r="BL112" s="158"/>
      <c r="BM112" s="158"/>
      <c r="BN112" s="157"/>
      <c r="BO112" s="156"/>
      <c r="BP112" s="157"/>
      <c r="BQ112" s="156"/>
      <c r="BR112" s="157"/>
      <c r="BS112" s="69"/>
      <c r="BT112" s="69"/>
      <c r="BV112" s="121" t="s">
        <v>347</v>
      </c>
      <c r="BW112" s="69" t="s">
        <v>19</v>
      </c>
      <c r="BX112" s="129" t="str">
        <f>VLOOKUP(UNINASSAU.[[#This Row],[CURSO]],'[1]POS_VIVO_0112 a 3101_CAMP. REG)'!$F$333:$G$447,2,FALSE)</f>
        <v>Saúde</v>
      </c>
      <c r="BY112" s="147">
        <f>VLOOKUP(UNINASSAU.[[#This Row],[CURSO]],'[1]POS_VIVO_0112 a 3101_CAMP. REG)'!$F$333:$H$447,3,FALSE)</f>
        <v>12</v>
      </c>
      <c r="BZ112" s="147">
        <f>VLOOKUP(UNINASSAU.[[#This Row],[CURSO]],'[1]POS_VIVO_0112 a 3101_CAMP. REG)'!$F$333:$I$447,4,FALSE)</f>
        <v>24</v>
      </c>
      <c r="CA112" s="157">
        <f>VLOOKUP(UNINASSAU.[[#This Row],[CURSO]],'[1]POS_VIVO_0112 a 3101_CAMP. REG)'!$F$333:$J$447,5,FALSE)</f>
        <v>1028.7060000000001</v>
      </c>
      <c r="CB112" s="124" t="s">
        <v>373</v>
      </c>
      <c r="CC112" s="157">
        <f>VLOOKUP(UNINASSAU.[[#This Row],[CURSO]],'[1]POS_VIVO_0112 a 3101_CAMP. REG)'!$F$333:$M$447,8,FALSE)</f>
        <v>925.84</v>
      </c>
      <c r="CD112" s="124" t="s">
        <v>373</v>
      </c>
      <c r="CE112" s="157">
        <f>VLOOKUP(UNINASSAU.[[#This Row],[CURSO]],'[1]POS_VIVO_0112 a 3101_CAMP. REG)'!$F$333:$Q$447,12,FALSE)</f>
        <v>925.84</v>
      </c>
      <c r="CF112" s="158"/>
      <c r="CG112" s="158"/>
      <c r="CH112" s="157"/>
      <c r="CI112" s="156"/>
      <c r="CJ112" s="157"/>
      <c r="CK112" s="156"/>
      <c r="CL112" s="157"/>
      <c r="CM112" s="69"/>
      <c r="CN112" s="69"/>
      <c r="CP112" s="104">
        <v>109</v>
      </c>
      <c r="CQ112" s="121" t="s">
        <v>304</v>
      </c>
    </row>
    <row r="113" spans="14:95" ht="16.5" customHeight="1" x14ac:dyDescent="0.25">
      <c r="N113" s="163" t="s">
        <v>348</v>
      </c>
      <c r="O113" s="69" t="s">
        <v>20</v>
      </c>
      <c r="P113" s="129"/>
      <c r="Q113" s="147"/>
      <c r="R113" s="147"/>
      <c r="S113" s="73"/>
      <c r="T113" s="124"/>
      <c r="U113" s="155"/>
      <c r="V113" s="156"/>
      <c r="W113" s="157"/>
      <c r="X113" s="158"/>
      <c r="Y113" s="158"/>
      <c r="Z113" s="157"/>
      <c r="AA113" s="156"/>
      <c r="AB113" s="157"/>
      <c r="AC113" s="156"/>
      <c r="AD113" s="157"/>
      <c r="AE113" s="69"/>
      <c r="AF113" s="69"/>
      <c r="AH113" s="121" t="s">
        <v>348</v>
      </c>
      <c r="AI113" s="69" t="s">
        <v>20</v>
      </c>
      <c r="AK113" s="69"/>
      <c r="AL113" s="69"/>
      <c r="AM113" s="155"/>
      <c r="AN113" s="123"/>
      <c r="AO113" s="157"/>
      <c r="AP113" s="156"/>
      <c r="AR113" s="68"/>
      <c r="AS113" s="68"/>
      <c r="AT113" s="71"/>
      <c r="AU113" s="162"/>
      <c r="AV113" s="161"/>
      <c r="AW113" s="162"/>
      <c r="AX113" s="161"/>
      <c r="AY113" s="69"/>
      <c r="AZ113" s="69"/>
      <c r="BB113" s="121" t="s">
        <v>348</v>
      </c>
      <c r="BC113" s="69" t="s">
        <v>20</v>
      </c>
      <c r="BD113" s="147"/>
      <c r="BE113" s="159"/>
      <c r="BF113" s="159"/>
      <c r="BG113" s="157"/>
      <c r="BH113" s="156"/>
      <c r="BI113" s="157"/>
      <c r="BJ113" s="156"/>
      <c r="BK113" s="157"/>
      <c r="BL113" s="158"/>
      <c r="BM113" s="158"/>
      <c r="BN113" s="157"/>
      <c r="BO113" s="156"/>
      <c r="BP113" s="157"/>
      <c r="BQ113" s="156"/>
      <c r="BR113" s="157"/>
      <c r="BS113" s="69"/>
      <c r="BT113" s="69"/>
      <c r="BV113" s="121" t="s">
        <v>348</v>
      </c>
      <c r="BW113" s="69" t="s">
        <v>19</v>
      </c>
      <c r="BX113" s="129" t="str">
        <f>VLOOKUP(UNINASSAU.[[#This Row],[CURSO]],'[1]POS_VIVO_0112 a 3101_CAMP. REG)'!$F$333:$G$447,2,FALSE)</f>
        <v>Saúde</v>
      </c>
      <c r="BY113" s="147">
        <f>VLOOKUP(UNINASSAU.[[#This Row],[CURSO]],'[1]POS_VIVO_0112 a 3101_CAMP. REG)'!$F$333:$H$447,3,FALSE)</f>
        <v>12</v>
      </c>
      <c r="BZ113" s="147">
        <f>VLOOKUP(UNINASSAU.[[#This Row],[CURSO]],'[1]POS_VIVO_0112 a 3101_CAMP. REG)'!$F$333:$I$447,4,FALSE)</f>
        <v>24</v>
      </c>
      <c r="CA113" s="157">
        <f>VLOOKUP(UNINASSAU.[[#This Row],[CURSO]],'[1]POS_VIVO_0112 a 3101_CAMP. REG)'!$F$333:$J$447,5,FALSE)</f>
        <v>1028.7060000000001</v>
      </c>
      <c r="CB113" s="124" t="s">
        <v>373</v>
      </c>
      <c r="CC113" s="157">
        <f>VLOOKUP(UNINASSAU.[[#This Row],[CURSO]],'[1]POS_VIVO_0112 a 3101_CAMP. REG)'!$F$333:$M$447,8,FALSE)</f>
        <v>925.84</v>
      </c>
      <c r="CD113" s="124" t="s">
        <v>373</v>
      </c>
      <c r="CE113" s="157">
        <f>VLOOKUP(UNINASSAU.[[#This Row],[CURSO]],'[1]POS_VIVO_0112 a 3101_CAMP. REG)'!$F$333:$Q$447,12,FALSE)</f>
        <v>925.84</v>
      </c>
      <c r="CF113" s="158"/>
      <c r="CG113" s="158"/>
      <c r="CH113" s="157"/>
      <c r="CI113" s="156"/>
      <c r="CJ113" s="157"/>
      <c r="CK113" s="156"/>
      <c r="CL113" s="157"/>
      <c r="CM113" s="69"/>
      <c r="CN113" s="69"/>
      <c r="CP113" s="104">
        <v>110</v>
      </c>
      <c r="CQ113" s="121" t="s">
        <v>301</v>
      </c>
    </row>
    <row r="114" spans="14:95" ht="16.5" customHeight="1" x14ac:dyDescent="0.25">
      <c r="N114" s="163" t="s">
        <v>298</v>
      </c>
      <c r="O114" s="69" t="s">
        <v>20</v>
      </c>
      <c r="P114" s="129"/>
      <c r="Q114" s="147"/>
      <c r="R114" s="147"/>
      <c r="S114" s="73"/>
      <c r="T114" s="124"/>
      <c r="U114" s="155"/>
      <c r="V114" s="156"/>
      <c r="W114" s="157"/>
      <c r="X114" s="158"/>
      <c r="Y114" s="158"/>
      <c r="Z114" s="157"/>
      <c r="AA114" s="156"/>
      <c r="AB114" s="157"/>
      <c r="AC114" s="156"/>
      <c r="AD114" s="157"/>
      <c r="AE114" s="69"/>
      <c r="AF114" s="69"/>
      <c r="AH114" s="121" t="s">
        <v>298</v>
      </c>
      <c r="AI114" s="69" t="s">
        <v>20</v>
      </c>
      <c r="AK114" s="69"/>
      <c r="AL114" s="69"/>
      <c r="AM114" s="155"/>
      <c r="AN114" s="123"/>
      <c r="AO114" s="157"/>
      <c r="AP114" s="156"/>
      <c r="AR114" s="68"/>
      <c r="AS114" s="68"/>
      <c r="AT114" s="71"/>
      <c r="AU114" s="162"/>
      <c r="AV114" s="161"/>
      <c r="AW114" s="162"/>
      <c r="AX114" s="161"/>
      <c r="AY114" s="69"/>
      <c r="AZ114" s="69"/>
      <c r="BB114" s="121" t="s">
        <v>298</v>
      </c>
      <c r="BC114" s="69" t="s">
        <v>20</v>
      </c>
      <c r="BD114" s="147"/>
      <c r="BE114" s="159"/>
      <c r="BF114" s="159"/>
      <c r="BG114" s="157"/>
      <c r="BH114" s="156"/>
      <c r="BI114" s="157"/>
      <c r="BJ114" s="156"/>
      <c r="BK114" s="157"/>
      <c r="BL114" s="158"/>
      <c r="BM114" s="158"/>
      <c r="BN114" s="157"/>
      <c r="BO114" s="156"/>
      <c r="BP114" s="157"/>
      <c r="BQ114" s="156"/>
      <c r="BR114" s="157"/>
      <c r="BS114" s="69"/>
      <c r="BT114" s="69"/>
      <c r="BV114" s="121" t="s">
        <v>298</v>
      </c>
      <c r="BW114" s="69" t="s">
        <v>369</v>
      </c>
      <c r="BX114" s="129" t="str">
        <f>VLOOKUP(UNINASSAU.[[#This Row],[CURSO]],'[1]POS_VIVO_0112 a 3101_CAMP. REG)'!$F$333:$G$447,2,FALSE)</f>
        <v>Tecnologia/Engenharia</v>
      </c>
      <c r="BY114" s="147">
        <f>VLOOKUP(UNINASSAU.[[#This Row],[CURSO]],'[1]POS_VIVO_0112 a 3101_CAMP. REG)'!$F$333:$H$447,3,FALSE)</f>
        <v>20</v>
      </c>
      <c r="BZ114" s="147">
        <f>VLOOKUP(UNINASSAU.[[#This Row],[CURSO]],'[1]POS_VIVO_0112 a 3101_CAMP. REG)'!$F$333:$I$447,4,FALSE)</f>
        <v>24</v>
      </c>
      <c r="CA114" s="157">
        <f>VLOOKUP(UNINASSAU.[[#This Row],[CURSO]],'[1]POS_VIVO_0112 a 3101_CAMP. REG)'!$F$333:$J$447,5,FALSE)</f>
        <v>614.94575100000009</v>
      </c>
      <c r="CB114" s="156">
        <f>VLOOKUP(UNINASSAU.[[#This Row],[CURSO]],'[1]POS_VIVO_0112 a 3101_CAMP. REG)'!$F$333:$L$447,7,FALSE)</f>
        <v>0.4</v>
      </c>
      <c r="CC114" s="157">
        <f>VLOOKUP(UNINASSAU.[[#This Row],[CURSO]],'[1]POS_VIVO_0112 a 3101_CAMP. REG)'!$F$333:$M$447,8,FALSE)</f>
        <v>332.07</v>
      </c>
      <c r="CD114" s="156">
        <f>VLOOKUP(UNINASSAU.[[#This Row],[CURSO]],'[1]POS_VIVO_0112 a 3101_CAMP. REG)'!$F$333:$P$447,11,FALSE)</f>
        <v>0.45</v>
      </c>
      <c r="CE114" s="157">
        <f>VLOOKUP(UNINASSAU.[[#This Row],[CURSO]],'[1]POS_VIVO_0112 a 3101_CAMP. REG)'!$F$333:$Q$447,12,FALSE)</f>
        <v>304.39999999999998</v>
      </c>
      <c r="CF114" s="75">
        <f>UNINASSAU.[[#This Row],[Nº Parcelas]]</f>
        <v>24</v>
      </c>
      <c r="CG114" s="75">
        <f>UNINASSAU.[[#This Row],[Nº Parcelas normal2]]-1</f>
        <v>23</v>
      </c>
      <c r="CH114" s="73">
        <f>UNINASSAU.[[#This Row],[$ NORMAL]]</f>
        <v>614.94575100000009</v>
      </c>
      <c r="CI114" s="72">
        <f>UNINASSAU.[[#This Row],[%  SITE]]</f>
        <v>0.4</v>
      </c>
      <c r="CJ114" s="73">
        <f>UNINASSAU.[[#This Row],[$ SITE]]</f>
        <v>332.07</v>
      </c>
      <c r="CK114" s="72">
        <f>UNINASSAU.[[#This Row],[%  SGP]]</f>
        <v>0.45</v>
      </c>
      <c r="CL114" s="73">
        <f>UNINASSAU.[[#This Row],[$ SGP]]</f>
        <v>304.39999999999998</v>
      </c>
      <c r="CM114" s="69" t="s">
        <v>351</v>
      </c>
      <c r="CN114" s="69" t="s">
        <v>372</v>
      </c>
      <c r="CP114" s="104">
        <v>111</v>
      </c>
      <c r="CQ114" s="121" t="s">
        <v>368</v>
      </c>
    </row>
    <row r="115" spans="14:95" ht="16.5" customHeight="1" x14ac:dyDescent="0.25">
      <c r="N115" s="163" t="s">
        <v>323</v>
      </c>
      <c r="O115" s="69" t="s">
        <v>20</v>
      </c>
      <c r="P115" s="129"/>
      <c r="Q115" s="147"/>
      <c r="R115" s="147"/>
      <c r="S115" s="73"/>
      <c r="T115" s="124"/>
      <c r="U115" s="155"/>
      <c r="V115" s="156"/>
      <c r="W115" s="157"/>
      <c r="X115" s="158"/>
      <c r="Y115" s="158"/>
      <c r="Z115" s="157"/>
      <c r="AA115" s="156"/>
      <c r="AB115" s="157"/>
      <c r="AC115" s="156"/>
      <c r="AD115" s="157"/>
      <c r="AE115" s="69"/>
      <c r="AF115" s="69"/>
      <c r="AH115" s="121" t="s">
        <v>323</v>
      </c>
      <c r="AI115" s="69" t="s">
        <v>20</v>
      </c>
      <c r="AK115" s="69"/>
      <c r="AL115" s="69"/>
      <c r="AM115" s="155"/>
      <c r="AN115" s="123"/>
      <c r="AO115" s="157"/>
      <c r="AP115" s="156"/>
      <c r="AR115" s="68"/>
      <c r="AS115" s="68"/>
      <c r="AT115" s="71"/>
      <c r="AU115" s="162"/>
      <c r="AV115" s="161"/>
      <c r="AW115" s="162"/>
      <c r="AX115" s="161"/>
      <c r="AY115" s="69"/>
      <c r="AZ115" s="69"/>
      <c r="BB115" s="121" t="s">
        <v>323</v>
      </c>
      <c r="BC115" s="69" t="s">
        <v>20</v>
      </c>
      <c r="BD115" s="147"/>
      <c r="BE115" s="159"/>
      <c r="BF115" s="159"/>
      <c r="BG115" s="157"/>
      <c r="BH115" s="156"/>
      <c r="BI115" s="157"/>
      <c r="BJ115" s="156"/>
      <c r="BK115" s="157"/>
      <c r="BL115" s="158"/>
      <c r="BM115" s="158"/>
      <c r="BN115" s="157"/>
      <c r="BO115" s="156"/>
      <c r="BP115" s="157"/>
      <c r="BQ115" s="156"/>
      <c r="BR115" s="157"/>
      <c r="BS115" s="69"/>
      <c r="BT115" s="69"/>
      <c r="BV115" s="121" t="s">
        <v>323</v>
      </c>
      <c r="BW115" s="69" t="s">
        <v>19</v>
      </c>
      <c r="BX115" s="129" t="str">
        <f>VLOOKUP(UNINASSAU.[[#This Row],[CURSO]],'[1]POS_VIVO_0112 a 3101_CAMP. REG)'!$F$333:$G$447,2,FALSE)</f>
        <v>Saúde</v>
      </c>
      <c r="BY115" s="147">
        <f>VLOOKUP(UNINASSAU.[[#This Row],[CURSO]],'[1]POS_VIVO_0112 a 3101_CAMP. REG)'!$F$333:$H$447,3,FALSE)</f>
        <v>12</v>
      </c>
      <c r="BZ115" s="147">
        <f>VLOOKUP(UNINASSAU.[[#This Row],[CURSO]],'[1]POS_VIVO_0112 a 3101_CAMP. REG)'!$F$333:$I$447,4,FALSE)</f>
        <v>24</v>
      </c>
      <c r="CA115" s="157">
        <f>VLOOKUP(UNINASSAU.[[#This Row],[CURSO]],'[1]POS_VIVO_0112 a 3101_CAMP. REG)'!$F$333:$J$447,5,FALSE)</f>
        <v>1028.7060000000001</v>
      </c>
      <c r="CB115" s="124" t="s">
        <v>373</v>
      </c>
      <c r="CC115" s="157">
        <f>VLOOKUP(UNINASSAU.[[#This Row],[CURSO]],'[1]POS_VIVO_0112 a 3101_CAMP. REG)'!$F$333:$M$447,8,FALSE)</f>
        <v>925.84</v>
      </c>
      <c r="CD115" s="124" t="s">
        <v>373</v>
      </c>
      <c r="CE115" s="157">
        <f>VLOOKUP(UNINASSAU.[[#This Row],[CURSO]],'[1]POS_VIVO_0112 a 3101_CAMP. REG)'!$F$333:$Q$447,12,FALSE)</f>
        <v>925.84</v>
      </c>
      <c r="CF115" s="158"/>
      <c r="CG115" s="158"/>
      <c r="CH115" s="157"/>
      <c r="CI115" s="156"/>
      <c r="CJ115" s="157"/>
      <c r="CK115" s="156"/>
      <c r="CL115" s="157"/>
      <c r="CM115" s="69"/>
      <c r="CN115" s="69"/>
      <c r="CP115" s="104">
        <v>112</v>
      </c>
      <c r="CQ115" s="121" t="s">
        <v>246</v>
      </c>
    </row>
    <row r="116" spans="14:95" ht="16.5" customHeight="1" x14ac:dyDescent="0.25">
      <c r="T116" s="72"/>
      <c r="V116" s="72"/>
      <c r="W116" s="73"/>
      <c r="Z116" s="73"/>
      <c r="AB116" s="73"/>
      <c r="AD116" s="73"/>
      <c r="AE116" s="73"/>
      <c r="AF116" s="73"/>
      <c r="AH116" s="107"/>
      <c r="AI116" s="107"/>
      <c r="AJ116" s="107"/>
      <c r="AP116" s="72"/>
      <c r="BB116" s="69"/>
      <c r="BC116" s="68"/>
      <c r="BD116" s="68"/>
      <c r="BE116" s="70"/>
      <c r="BF116" s="70"/>
      <c r="BV116" s="107"/>
      <c r="BW116" s="69"/>
      <c r="BX116" s="69"/>
      <c r="BY116" s="68"/>
      <c r="BZ116" s="68"/>
      <c r="CQ116" s="108"/>
    </row>
    <row r="117" spans="14:95" ht="16.5" customHeight="1" x14ac:dyDescent="0.25">
      <c r="T117" s="72"/>
      <c r="V117" s="72"/>
      <c r="W117" s="73"/>
      <c r="Z117" s="73"/>
      <c r="AB117" s="73"/>
      <c r="AD117" s="73"/>
      <c r="AE117" s="73"/>
      <c r="AF117" s="73"/>
      <c r="AH117" s="107"/>
      <c r="AI117" s="107"/>
      <c r="AJ117" s="107"/>
      <c r="AP117" s="72"/>
      <c r="BB117" s="69"/>
      <c r="BC117" s="68"/>
      <c r="BD117" s="68"/>
      <c r="BE117" s="70"/>
      <c r="BF117" s="70"/>
      <c r="BV117" s="107"/>
      <c r="BW117" s="69"/>
      <c r="BX117" s="69"/>
      <c r="BY117" s="68"/>
      <c r="BZ117" s="68"/>
      <c r="CQ117" s="108"/>
    </row>
    <row r="118" spans="14:95" ht="16.5" customHeight="1" x14ac:dyDescent="0.25">
      <c r="T118" s="72"/>
      <c r="V118" s="72"/>
      <c r="W118" s="73"/>
      <c r="Z118" s="73"/>
      <c r="AB118" s="73"/>
      <c r="AD118" s="73"/>
      <c r="AE118" s="73"/>
      <c r="AF118" s="73"/>
      <c r="AH118" s="107"/>
      <c r="AI118" s="107"/>
      <c r="AJ118" s="107"/>
      <c r="AP118" s="72"/>
      <c r="BB118" s="69"/>
      <c r="BC118" s="68"/>
      <c r="BD118" s="68"/>
      <c r="BE118" s="70"/>
      <c r="BF118" s="70"/>
      <c r="BV118" s="107"/>
      <c r="BW118" s="69"/>
      <c r="BX118" s="69"/>
      <c r="BY118" s="68"/>
      <c r="BZ118" s="68"/>
      <c r="CQ118" s="108"/>
    </row>
    <row r="119" spans="14:95" ht="16.5" customHeight="1" x14ac:dyDescent="0.25">
      <c r="T119" s="72"/>
      <c r="V119" s="72"/>
      <c r="W119" s="73"/>
      <c r="Z119" s="73"/>
      <c r="AB119" s="73"/>
      <c r="AD119" s="73"/>
      <c r="AE119" s="73"/>
      <c r="AF119" s="73"/>
      <c r="AH119" s="107"/>
      <c r="AI119" s="107"/>
      <c r="AJ119" s="107"/>
      <c r="AP119" s="72"/>
      <c r="BB119" s="69"/>
      <c r="BC119" s="68"/>
      <c r="BD119" s="68"/>
      <c r="BE119" s="70"/>
      <c r="BF119" s="70"/>
      <c r="BV119" s="107"/>
      <c r="BW119" s="69"/>
      <c r="BX119" s="69"/>
      <c r="BY119" s="68"/>
      <c r="BZ119" s="68"/>
      <c r="CQ119" s="108"/>
    </row>
    <row r="120" spans="14:95" ht="16.5" customHeight="1" x14ac:dyDescent="0.25">
      <c r="T120" s="72"/>
      <c r="V120" s="72"/>
      <c r="W120" s="73"/>
      <c r="Z120" s="73"/>
      <c r="AB120" s="73"/>
      <c r="AD120" s="73"/>
      <c r="AE120" s="73"/>
      <c r="AF120" s="73"/>
      <c r="AH120" s="107"/>
      <c r="AI120" s="107"/>
      <c r="AJ120" s="107"/>
      <c r="AP120" s="72"/>
      <c r="BB120" s="69"/>
      <c r="BC120" s="68"/>
      <c r="BD120" s="68"/>
      <c r="BE120" s="70"/>
      <c r="BF120" s="70"/>
      <c r="BV120" s="107"/>
      <c r="BW120" s="69"/>
      <c r="BX120" s="69"/>
      <c r="BY120" s="68"/>
      <c r="BZ120" s="68"/>
      <c r="CQ120" s="108"/>
    </row>
    <row r="121" spans="14:95" ht="16.5" customHeight="1" x14ac:dyDescent="0.25">
      <c r="T121" s="72"/>
      <c r="V121" s="72"/>
      <c r="W121" s="73"/>
      <c r="Z121" s="73"/>
      <c r="AB121" s="73"/>
      <c r="AD121" s="73"/>
      <c r="AE121" s="73"/>
      <c r="AF121" s="73"/>
      <c r="AH121" s="107"/>
      <c r="AI121" s="107"/>
      <c r="AJ121" s="107"/>
      <c r="AP121" s="72"/>
      <c r="BB121" s="69"/>
      <c r="BC121" s="68"/>
      <c r="BD121" s="68"/>
      <c r="BE121" s="70"/>
      <c r="BF121" s="70"/>
      <c r="BV121" s="107"/>
      <c r="BW121" s="69"/>
      <c r="BX121" s="69"/>
      <c r="BY121" s="68"/>
      <c r="BZ121" s="68"/>
      <c r="CQ121" s="108"/>
    </row>
    <row r="122" spans="14:95" ht="16.5" customHeight="1" x14ac:dyDescent="0.25">
      <c r="T122" s="72"/>
      <c r="V122" s="72"/>
      <c r="W122" s="73"/>
      <c r="Z122" s="73"/>
      <c r="AB122" s="73"/>
      <c r="AD122" s="73"/>
      <c r="AE122" s="73"/>
      <c r="AF122" s="73"/>
      <c r="AH122" s="107"/>
      <c r="AI122" s="107"/>
      <c r="AJ122" s="107"/>
      <c r="AP122" s="72"/>
      <c r="BB122" s="69"/>
      <c r="BC122" s="68"/>
      <c r="BD122" s="68"/>
      <c r="BE122" s="70"/>
      <c r="BF122" s="70"/>
      <c r="BV122" s="107"/>
      <c r="BW122" s="69"/>
      <c r="BX122" s="69"/>
      <c r="BY122" s="68"/>
      <c r="BZ122" s="68"/>
      <c r="CQ122" s="108"/>
    </row>
    <row r="123" spans="14:95" ht="16.5" customHeight="1" x14ac:dyDescent="0.25">
      <c r="T123" s="72"/>
      <c r="V123" s="72"/>
      <c r="W123" s="73"/>
      <c r="Z123" s="73"/>
      <c r="AB123" s="73"/>
      <c r="AD123" s="73"/>
      <c r="AE123" s="73"/>
      <c r="AF123" s="73"/>
      <c r="AH123" s="107"/>
      <c r="AI123" s="107"/>
      <c r="AJ123" s="107"/>
      <c r="AP123" s="72"/>
      <c r="BB123" s="69"/>
      <c r="BC123" s="68"/>
      <c r="BD123" s="68"/>
      <c r="BE123" s="70"/>
      <c r="BF123" s="70"/>
      <c r="BV123" s="107"/>
      <c r="BW123" s="69"/>
      <c r="BX123" s="69"/>
      <c r="BY123" s="68"/>
      <c r="BZ123" s="68"/>
      <c r="CQ123" s="108"/>
    </row>
    <row r="124" spans="14:95" ht="16.5" customHeight="1" x14ac:dyDescent="0.25">
      <c r="T124" s="72"/>
      <c r="V124" s="72"/>
      <c r="W124" s="73"/>
      <c r="Z124" s="73"/>
      <c r="AB124" s="73"/>
      <c r="AD124" s="73"/>
      <c r="AE124" s="73"/>
      <c r="AF124" s="73"/>
      <c r="AH124" s="107"/>
      <c r="AI124" s="107"/>
      <c r="AJ124" s="107"/>
      <c r="AP124" s="72"/>
      <c r="BB124" s="69"/>
      <c r="BC124" s="68"/>
      <c r="BD124" s="68"/>
      <c r="BE124" s="70"/>
      <c r="BF124" s="70"/>
      <c r="BV124" s="107"/>
      <c r="BW124" s="69"/>
      <c r="BX124" s="69"/>
      <c r="BY124" s="68"/>
      <c r="BZ124" s="68"/>
      <c r="CQ124" s="108"/>
    </row>
    <row r="125" spans="14:95" ht="16.5" customHeight="1" x14ac:dyDescent="0.25">
      <c r="T125" s="72"/>
      <c r="V125" s="72"/>
      <c r="W125" s="73"/>
      <c r="Z125" s="73"/>
      <c r="AB125" s="73"/>
      <c r="AD125" s="73"/>
      <c r="AE125" s="73"/>
      <c r="AF125" s="73"/>
      <c r="AH125" s="107"/>
      <c r="AI125" s="107"/>
      <c r="AJ125" s="107"/>
      <c r="AP125" s="72"/>
      <c r="BB125" s="69"/>
      <c r="BC125" s="68"/>
      <c r="BD125" s="68"/>
      <c r="BE125" s="70"/>
      <c r="BF125" s="70"/>
      <c r="BV125" s="107"/>
      <c r="BW125" s="69"/>
      <c r="BX125" s="69"/>
      <c r="BY125" s="68"/>
      <c r="BZ125" s="68"/>
      <c r="CQ125" s="108"/>
    </row>
    <row r="126" spans="14:95" ht="16.5" customHeight="1" x14ac:dyDescent="0.25">
      <c r="T126" s="72"/>
      <c r="V126" s="72"/>
      <c r="W126" s="73"/>
      <c r="Z126" s="73"/>
      <c r="AB126" s="73"/>
      <c r="AD126" s="73"/>
      <c r="AE126" s="73"/>
      <c r="AF126" s="73"/>
      <c r="AH126" s="107"/>
      <c r="AI126" s="107"/>
      <c r="AJ126" s="107"/>
      <c r="AP126" s="72"/>
      <c r="BB126" s="69"/>
      <c r="BC126" s="68"/>
      <c r="BD126" s="68"/>
      <c r="BE126" s="70"/>
      <c r="BF126" s="70"/>
      <c r="BV126" s="107"/>
      <c r="BW126" s="69"/>
      <c r="BX126" s="69"/>
      <c r="BY126" s="68"/>
      <c r="BZ126" s="68"/>
      <c r="CQ126" s="108"/>
    </row>
    <row r="127" spans="14:95" ht="16.5" customHeight="1" x14ac:dyDescent="0.25">
      <c r="T127" s="72"/>
      <c r="V127" s="72"/>
      <c r="W127" s="73"/>
      <c r="Z127" s="73"/>
      <c r="AB127" s="73"/>
      <c r="AD127" s="73"/>
      <c r="AE127" s="73"/>
      <c r="AF127" s="73"/>
      <c r="AH127" s="107"/>
      <c r="AI127" s="107"/>
      <c r="AJ127" s="107"/>
      <c r="AP127" s="72"/>
      <c r="BB127" s="69"/>
      <c r="BC127" s="68"/>
      <c r="BD127" s="68"/>
      <c r="BE127" s="70"/>
      <c r="BF127" s="70"/>
      <c r="BV127" s="107"/>
      <c r="BW127" s="69"/>
      <c r="BX127" s="69"/>
      <c r="BY127" s="68"/>
      <c r="BZ127" s="68"/>
      <c r="CQ127" s="108"/>
    </row>
    <row r="128" spans="14:95" ht="16.5" customHeight="1" x14ac:dyDescent="0.25">
      <c r="T128" s="72"/>
      <c r="V128" s="72"/>
      <c r="W128" s="73"/>
      <c r="Z128" s="73"/>
      <c r="AB128" s="73"/>
      <c r="AD128" s="73"/>
      <c r="AE128" s="73"/>
      <c r="AF128" s="73"/>
      <c r="AH128" s="107"/>
      <c r="AI128" s="107"/>
      <c r="AJ128" s="107"/>
      <c r="AP128" s="72"/>
      <c r="BB128" s="69"/>
      <c r="BC128" s="68"/>
      <c r="BD128" s="68"/>
      <c r="BE128" s="70"/>
      <c r="BF128" s="70"/>
      <c r="BV128" s="107"/>
      <c r="BW128" s="69"/>
      <c r="BX128" s="69"/>
      <c r="BY128" s="68"/>
      <c r="BZ128" s="68"/>
      <c r="CQ128" s="108"/>
    </row>
    <row r="129" spans="20:95" ht="16.5" customHeight="1" x14ac:dyDescent="0.25">
      <c r="T129" s="72"/>
      <c r="V129" s="72"/>
      <c r="W129" s="73"/>
      <c r="Z129" s="73"/>
      <c r="AB129" s="73"/>
      <c r="AD129" s="73"/>
      <c r="AE129" s="73"/>
      <c r="AF129" s="73"/>
      <c r="AH129" s="107"/>
      <c r="AI129" s="107"/>
      <c r="AJ129" s="107"/>
      <c r="AP129" s="72"/>
      <c r="BB129" s="69"/>
      <c r="BC129" s="68"/>
      <c r="BD129" s="68"/>
      <c r="BE129" s="70"/>
      <c r="BF129" s="70"/>
      <c r="BV129" s="107"/>
      <c r="BW129" s="69"/>
      <c r="BX129" s="69"/>
      <c r="BY129" s="68"/>
      <c r="BZ129" s="68"/>
      <c r="CQ129" s="108"/>
    </row>
    <row r="130" spans="20:95" ht="16.5" customHeight="1" x14ac:dyDescent="0.25">
      <c r="T130" s="72"/>
      <c r="V130" s="72"/>
      <c r="W130" s="73"/>
      <c r="Z130" s="73"/>
      <c r="AB130" s="73"/>
      <c r="AD130" s="73"/>
      <c r="AE130" s="73"/>
      <c r="AF130" s="73"/>
      <c r="AH130" s="107"/>
      <c r="AI130" s="107"/>
      <c r="AJ130" s="107"/>
      <c r="AP130" s="72"/>
      <c r="BB130" s="69"/>
      <c r="BC130" s="68"/>
      <c r="BD130" s="68"/>
      <c r="BE130" s="70"/>
      <c r="BF130" s="70"/>
      <c r="BV130" s="107"/>
      <c r="BW130" s="69"/>
      <c r="BX130" s="69"/>
      <c r="BY130" s="68"/>
      <c r="BZ130" s="68"/>
      <c r="CQ130" s="108"/>
    </row>
    <row r="131" spans="20:95" ht="16.5" customHeight="1" x14ac:dyDescent="0.25">
      <c r="T131" s="72"/>
      <c r="V131" s="72"/>
      <c r="W131" s="73"/>
      <c r="Z131" s="73"/>
      <c r="AB131" s="73"/>
      <c r="AD131" s="73"/>
      <c r="AE131" s="73"/>
      <c r="AF131" s="73"/>
      <c r="AH131" s="107"/>
      <c r="AI131" s="107"/>
      <c r="AJ131" s="107"/>
      <c r="AP131" s="72"/>
      <c r="BB131" s="69"/>
      <c r="BC131" s="68"/>
      <c r="BD131" s="68"/>
      <c r="BE131" s="70"/>
      <c r="BF131" s="70"/>
      <c r="BV131" s="107"/>
      <c r="BW131" s="69"/>
      <c r="BX131" s="69"/>
      <c r="BY131" s="68"/>
      <c r="BZ131" s="68"/>
      <c r="CQ131" s="108"/>
    </row>
    <row r="132" spans="20:95" ht="16.5" customHeight="1" x14ac:dyDescent="0.25">
      <c r="T132" s="72"/>
      <c r="V132" s="72"/>
      <c r="W132" s="73"/>
      <c r="Z132" s="73"/>
      <c r="AB132" s="73"/>
      <c r="AD132" s="73"/>
      <c r="AE132" s="73"/>
      <c r="AF132" s="73"/>
      <c r="AH132" s="107"/>
      <c r="AI132" s="107"/>
      <c r="AJ132" s="107"/>
      <c r="AP132" s="72"/>
      <c r="BB132" s="69"/>
      <c r="BC132" s="68"/>
      <c r="BD132" s="68"/>
      <c r="BE132" s="70"/>
      <c r="BF132" s="70"/>
      <c r="BV132" s="107"/>
      <c r="BW132" s="69"/>
      <c r="BX132" s="69"/>
      <c r="BY132" s="68"/>
      <c r="BZ132" s="68"/>
      <c r="CQ132" s="108"/>
    </row>
    <row r="133" spans="20:95" ht="16.5" customHeight="1" x14ac:dyDescent="0.25">
      <c r="T133" s="72"/>
      <c r="V133" s="72"/>
      <c r="W133" s="73"/>
      <c r="Z133" s="73"/>
      <c r="AB133" s="73"/>
      <c r="AD133" s="73"/>
      <c r="AE133" s="73"/>
      <c r="AF133" s="73"/>
      <c r="AH133" s="107"/>
      <c r="AI133" s="107"/>
      <c r="AJ133" s="107"/>
      <c r="AP133" s="72"/>
      <c r="BB133" s="69"/>
      <c r="BC133" s="68"/>
      <c r="BD133" s="68"/>
      <c r="BE133" s="70"/>
      <c r="BF133" s="70"/>
      <c r="BV133" s="107"/>
      <c r="BW133" s="69"/>
      <c r="BX133" s="69"/>
      <c r="BY133" s="68"/>
      <c r="BZ133" s="68"/>
      <c r="CQ133" s="108"/>
    </row>
    <row r="134" spans="20:95" ht="16.5" customHeight="1" x14ac:dyDescent="0.25">
      <c r="T134" s="72"/>
      <c r="V134" s="72"/>
      <c r="W134" s="73"/>
      <c r="Z134" s="73"/>
      <c r="AB134" s="73"/>
      <c r="AD134" s="73"/>
      <c r="AE134" s="73"/>
      <c r="AF134" s="73"/>
      <c r="AH134" s="107"/>
      <c r="AI134" s="107"/>
      <c r="AJ134" s="107"/>
      <c r="AP134" s="72"/>
      <c r="BB134" s="69"/>
      <c r="BC134" s="68"/>
      <c r="BD134" s="68"/>
      <c r="BE134" s="70"/>
      <c r="BF134" s="70"/>
      <c r="BV134" s="107"/>
      <c r="BW134" s="69"/>
      <c r="BX134" s="69"/>
      <c r="BY134" s="68"/>
      <c r="BZ134" s="68"/>
      <c r="CQ134" s="108"/>
    </row>
    <row r="135" spans="20:95" ht="16.5" customHeight="1" x14ac:dyDescent="0.25">
      <c r="T135" s="72"/>
      <c r="V135" s="72"/>
      <c r="W135" s="73"/>
      <c r="Z135" s="73"/>
      <c r="AB135" s="73"/>
      <c r="AD135" s="73"/>
      <c r="AE135" s="73"/>
      <c r="AF135" s="73"/>
      <c r="AH135" s="107"/>
      <c r="AI135" s="107"/>
      <c r="AJ135" s="107"/>
      <c r="AP135" s="72"/>
      <c r="BB135" s="69"/>
      <c r="BC135" s="68"/>
      <c r="BD135" s="68"/>
      <c r="BE135" s="70"/>
      <c r="BF135" s="70"/>
      <c r="BV135" s="107"/>
      <c r="BW135" s="69"/>
      <c r="BX135" s="69"/>
      <c r="BY135" s="68"/>
      <c r="BZ135" s="68"/>
      <c r="CQ135" s="108"/>
    </row>
    <row r="136" spans="20:95" ht="16.5" customHeight="1" x14ac:dyDescent="0.25">
      <c r="T136" s="72"/>
      <c r="V136" s="72"/>
      <c r="W136" s="73"/>
      <c r="Z136" s="73"/>
      <c r="AB136" s="73"/>
      <c r="AD136" s="73"/>
      <c r="AE136" s="73"/>
      <c r="AF136" s="73"/>
      <c r="AH136" s="107"/>
      <c r="AI136" s="107"/>
      <c r="AJ136" s="107"/>
      <c r="AP136" s="72"/>
      <c r="BB136" s="69"/>
      <c r="BC136" s="68"/>
      <c r="BD136" s="68"/>
      <c r="BE136" s="70"/>
      <c r="BF136" s="70"/>
      <c r="BV136" s="107"/>
      <c r="BW136" s="69"/>
      <c r="BX136" s="69"/>
      <c r="BY136" s="68"/>
      <c r="BZ136" s="68"/>
      <c r="CQ136" s="108"/>
    </row>
    <row r="137" spans="20:95" ht="16.5" customHeight="1" x14ac:dyDescent="0.25">
      <c r="T137" s="72"/>
      <c r="V137" s="72"/>
      <c r="W137" s="73"/>
      <c r="Z137" s="73"/>
      <c r="AB137" s="73"/>
      <c r="AD137" s="73"/>
      <c r="AE137" s="73"/>
      <c r="AF137" s="73"/>
      <c r="AH137" s="107"/>
      <c r="AI137" s="107"/>
      <c r="AJ137" s="107"/>
      <c r="AP137" s="72"/>
      <c r="BB137" s="69"/>
      <c r="BC137" s="68"/>
      <c r="BD137" s="68"/>
      <c r="BE137" s="70"/>
      <c r="BF137" s="70"/>
      <c r="BV137" s="107"/>
      <c r="BW137" s="69"/>
      <c r="BX137" s="69"/>
      <c r="BY137" s="68"/>
      <c r="BZ137" s="68"/>
      <c r="CQ137" s="108"/>
    </row>
    <row r="138" spans="20:95" ht="16.5" customHeight="1" x14ac:dyDescent="0.25">
      <c r="T138" s="72"/>
      <c r="V138" s="72"/>
      <c r="W138" s="73"/>
      <c r="Z138" s="73"/>
      <c r="AB138" s="73"/>
      <c r="AD138" s="73"/>
      <c r="AE138" s="73"/>
      <c r="AF138" s="73"/>
      <c r="AH138" s="107"/>
      <c r="AI138" s="107"/>
      <c r="AJ138" s="107"/>
      <c r="AP138" s="72"/>
      <c r="BB138" s="69"/>
      <c r="BC138" s="68"/>
      <c r="BD138" s="68"/>
      <c r="BE138" s="70"/>
      <c r="BF138" s="70"/>
      <c r="BV138" s="107"/>
      <c r="BW138" s="69"/>
      <c r="BX138" s="69"/>
      <c r="BY138" s="68"/>
      <c r="BZ138" s="68"/>
      <c r="CQ138" s="108"/>
    </row>
    <row r="139" spans="20:95" ht="16.5" customHeight="1" x14ac:dyDescent="0.25">
      <c r="T139" s="72"/>
      <c r="V139" s="72"/>
      <c r="W139" s="73"/>
      <c r="Z139" s="73"/>
      <c r="AB139" s="73"/>
      <c r="AD139" s="73"/>
      <c r="AE139" s="73"/>
      <c r="AF139" s="73"/>
      <c r="AH139" s="107"/>
      <c r="AI139" s="107"/>
      <c r="AJ139" s="107"/>
      <c r="AP139" s="72"/>
      <c r="BB139" s="69"/>
      <c r="BC139" s="68"/>
      <c r="BD139" s="68"/>
      <c r="BE139" s="70"/>
      <c r="BF139" s="70"/>
      <c r="BV139" s="107"/>
      <c r="BW139" s="69"/>
      <c r="BX139" s="69"/>
      <c r="BY139" s="68"/>
      <c r="BZ139" s="68"/>
      <c r="CQ139" s="108"/>
    </row>
    <row r="140" spans="20:95" ht="16.5" customHeight="1" x14ac:dyDescent="0.25">
      <c r="T140" s="72"/>
      <c r="V140" s="72"/>
      <c r="W140" s="73"/>
      <c r="Z140" s="73"/>
      <c r="AB140" s="73"/>
      <c r="AD140" s="73"/>
      <c r="AE140" s="73"/>
      <c r="AF140" s="73"/>
      <c r="AH140" s="107"/>
      <c r="AI140" s="107"/>
      <c r="AJ140" s="107"/>
      <c r="AP140" s="72"/>
      <c r="BB140" s="69"/>
      <c r="BC140" s="68"/>
      <c r="BD140" s="68"/>
      <c r="BE140" s="70"/>
      <c r="BF140" s="70"/>
      <c r="BV140" s="107"/>
      <c r="BW140" s="69"/>
      <c r="BX140" s="69"/>
      <c r="BY140" s="68"/>
      <c r="BZ140" s="68"/>
      <c r="CQ140" s="108"/>
    </row>
    <row r="141" spans="20:95" ht="16.5" customHeight="1" x14ac:dyDescent="0.25">
      <c r="T141" s="72"/>
      <c r="V141" s="72"/>
      <c r="W141" s="73"/>
      <c r="Z141" s="73"/>
      <c r="AB141" s="73"/>
      <c r="AD141" s="73"/>
      <c r="AE141" s="73"/>
      <c r="AF141" s="73"/>
      <c r="AH141" s="107"/>
      <c r="AI141" s="107"/>
      <c r="AJ141" s="107"/>
      <c r="AP141" s="72"/>
      <c r="BB141" s="69"/>
      <c r="BC141" s="68"/>
      <c r="BD141" s="68"/>
      <c r="BE141" s="70"/>
      <c r="BF141" s="70"/>
      <c r="BV141" s="107"/>
      <c r="BW141" s="69"/>
      <c r="BX141" s="69"/>
      <c r="BY141" s="68"/>
      <c r="BZ141" s="68"/>
      <c r="CQ141" s="108"/>
    </row>
    <row r="142" spans="20:95" ht="16.5" customHeight="1" x14ac:dyDescent="0.25">
      <c r="T142" s="72"/>
      <c r="V142" s="72"/>
      <c r="W142" s="73"/>
      <c r="Z142" s="73"/>
      <c r="AB142" s="73"/>
      <c r="AD142" s="73"/>
      <c r="AE142" s="73"/>
      <c r="AF142" s="73"/>
      <c r="AH142" s="107"/>
      <c r="AI142" s="107"/>
      <c r="AJ142" s="107"/>
      <c r="AP142" s="72"/>
      <c r="BB142" s="69"/>
      <c r="BC142" s="68"/>
      <c r="BD142" s="68"/>
      <c r="BE142" s="70"/>
      <c r="BF142" s="70"/>
      <c r="BV142" s="107"/>
      <c r="BW142" s="69"/>
      <c r="BX142" s="69"/>
      <c r="BY142" s="68"/>
      <c r="BZ142" s="68"/>
      <c r="CQ142" s="108"/>
    </row>
    <row r="143" spans="20:95" ht="16.5" customHeight="1" x14ac:dyDescent="0.25">
      <c r="T143" s="72"/>
      <c r="V143" s="72"/>
      <c r="W143" s="73"/>
      <c r="Z143" s="73"/>
      <c r="AB143" s="73"/>
      <c r="AD143" s="73"/>
      <c r="AE143" s="73"/>
      <c r="AF143" s="73"/>
      <c r="AH143" s="107"/>
      <c r="AI143" s="107"/>
      <c r="AJ143" s="107"/>
      <c r="AP143" s="72"/>
      <c r="BB143" s="69"/>
      <c r="BC143" s="68"/>
      <c r="BD143" s="68"/>
      <c r="BE143" s="70"/>
      <c r="BF143" s="70"/>
      <c r="BV143" s="107"/>
      <c r="BW143" s="69"/>
      <c r="BX143" s="69"/>
      <c r="BY143" s="68"/>
      <c r="BZ143" s="68"/>
      <c r="CQ143" s="108"/>
    </row>
    <row r="144" spans="20:95" ht="16.5" customHeight="1" x14ac:dyDescent="0.25">
      <c r="T144" s="72"/>
      <c r="V144" s="72"/>
      <c r="W144" s="73"/>
      <c r="Z144" s="73"/>
      <c r="AB144" s="73"/>
      <c r="AD144" s="73"/>
      <c r="AE144" s="73"/>
      <c r="AF144" s="73"/>
      <c r="AH144" s="107"/>
      <c r="AI144" s="107"/>
      <c r="AJ144" s="107"/>
      <c r="AP144" s="72"/>
      <c r="BB144" s="69"/>
      <c r="BC144" s="68"/>
      <c r="BD144" s="68"/>
      <c r="BE144" s="70"/>
      <c r="BF144" s="70"/>
      <c r="BV144" s="107"/>
      <c r="BW144" s="69"/>
      <c r="BX144" s="69"/>
      <c r="BY144" s="68"/>
      <c r="BZ144" s="68"/>
      <c r="CQ144" s="108"/>
    </row>
    <row r="145" spans="20:95" ht="16.5" customHeight="1" x14ac:dyDescent="0.25">
      <c r="T145" s="72"/>
      <c r="V145" s="72"/>
      <c r="W145" s="73"/>
      <c r="Z145" s="73"/>
      <c r="AB145" s="73"/>
      <c r="AD145" s="73"/>
      <c r="AE145" s="73"/>
      <c r="AF145" s="73"/>
      <c r="AH145" s="107"/>
      <c r="AI145" s="107"/>
      <c r="AJ145" s="107"/>
      <c r="AP145" s="72"/>
      <c r="BB145" s="69"/>
      <c r="BC145" s="68"/>
      <c r="BD145" s="68"/>
      <c r="BE145" s="70"/>
      <c r="BF145" s="70"/>
      <c r="BV145" s="107"/>
      <c r="BW145" s="69"/>
      <c r="BX145" s="69"/>
      <c r="BY145" s="68"/>
      <c r="BZ145" s="68"/>
      <c r="CQ145" s="108"/>
    </row>
    <row r="146" spans="20:95" ht="16.5" customHeight="1" x14ac:dyDescent="0.25">
      <c r="T146" s="72"/>
      <c r="V146" s="72"/>
      <c r="W146" s="73"/>
      <c r="Z146" s="73"/>
      <c r="AB146" s="73"/>
      <c r="AD146" s="73"/>
      <c r="AE146" s="73"/>
      <c r="AF146" s="73"/>
      <c r="AH146" s="107"/>
      <c r="AI146" s="107"/>
      <c r="AJ146" s="107"/>
      <c r="AP146" s="72"/>
      <c r="BB146" s="69"/>
      <c r="BC146" s="68"/>
      <c r="BD146" s="68"/>
      <c r="BE146" s="70"/>
      <c r="BF146" s="70"/>
      <c r="BV146" s="107"/>
      <c r="BW146" s="69"/>
      <c r="BX146" s="69"/>
      <c r="BY146" s="68"/>
      <c r="BZ146" s="68"/>
      <c r="CQ146" s="108"/>
    </row>
    <row r="147" spans="20:95" ht="16.5" customHeight="1" x14ac:dyDescent="0.25">
      <c r="T147" s="72"/>
      <c r="V147" s="72"/>
      <c r="W147" s="73"/>
      <c r="Z147" s="73"/>
      <c r="AB147" s="73"/>
      <c r="AD147" s="73"/>
      <c r="AE147" s="73"/>
      <c r="AF147" s="73"/>
      <c r="AH147" s="107"/>
      <c r="AI147" s="107"/>
      <c r="AJ147" s="107"/>
      <c r="AP147" s="72"/>
      <c r="BB147" s="69"/>
      <c r="BC147" s="68"/>
      <c r="BD147" s="68"/>
      <c r="BE147" s="70"/>
      <c r="BF147" s="70"/>
      <c r="BV147" s="107"/>
      <c r="BW147" s="69"/>
      <c r="BX147" s="69"/>
      <c r="BY147" s="68"/>
      <c r="BZ147" s="68"/>
      <c r="CQ147" s="108"/>
    </row>
    <row r="148" spans="20:95" ht="16.5" customHeight="1" x14ac:dyDescent="0.25">
      <c r="T148" s="72"/>
      <c r="V148" s="72"/>
      <c r="W148" s="73"/>
      <c r="Z148" s="73"/>
      <c r="AB148" s="73"/>
      <c r="AD148" s="73"/>
      <c r="AE148" s="73"/>
      <c r="AF148" s="73"/>
      <c r="AH148" s="107"/>
      <c r="AI148" s="107"/>
      <c r="AJ148" s="107"/>
      <c r="AP148" s="72"/>
      <c r="BB148" s="69"/>
      <c r="BC148" s="68"/>
      <c r="BD148" s="68"/>
      <c r="BE148" s="70"/>
      <c r="BF148" s="70"/>
      <c r="BV148" s="107"/>
      <c r="BW148" s="69"/>
      <c r="BX148" s="69"/>
      <c r="BY148" s="68"/>
      <c r="BZ148" s="68"/>
      <c r="CQ148" s="108"/>
    </row>
    <row r="149" spans="20:95" ht="16.5" customHeight="1" x14ac:dyDescent="0.25">
      <c r="T149" s="72"/>
      <c r="V149" s="72"/>
      <c r="W149" s="73"/>
      <c r="Z149" s="73"/>
      <c r="AB149" s="73"/>
      <c r="AD149" s="73"/>
      <c r="AE149" s="73"/>
      <c r="AF149" s="73"/>
      <c r="AH149" s="107"/>
      <c r="AI149" s="107"/>
      <c r="AJ149" s="107"/>
      <c r="AP149" s="72"/>
      <c r="BB149" s="69"/>
      <c r="BC149" s="68"/>
      <c r="BD149" s="68"/>
      <c r="BE149" s="70"/>
      <c r="BF149" s="70"/>
      <c r="BV149" s="107"/>
      <c r="BW149" s="69"/>
      <c r="BX149" s="69"/>
      <c r="BY149" s="68"/>
      <c r="BZ149" s="68"/>
      <c r="CQ149" s="108"/>
    </row>
    <row r="150" spans="20:95" ht="16.5" customHeight="1" x14ac:dyDescent="0.25">
      <c r="T150" s="72"/>
      <c r="V150" s="72"/>
      <c r="W150" s="73"/>
      <c r="Z150" s="73"/>
      <c r="AB150" s="73"/>
      <c r="AD150" s="73"/>
      <c r="AE150" s="73"/>
      <c r="AF150" s="73"/>
      <c r="AH150" s="107"/>
      <c r="AI150" s="107"/>
      <c r="AJ150" s="107"/>
      <c r="AP150" s="72"/>
      <c r="BB150" s="69"/>
      <c r="BC150" s="68"/>
      <c r="BD150" s="68"/>
      <c r="BE150" s="70"/>
      <c r="BF150" s="70"/>
      <c r="BV150" s="107"/>
      <c r="BW150" s="69"/>
      <c r="BX150" s="69"/>
      <c r="BY150" s="68"/>
      <c r="BZ150" s="68"/>
      <c r="CQ150" s="108"/>
    </row>
    <row r="151" spans="20:95" ht="16.5" customHeight="1" x14ac:dyDescent="0.25">
      <c r="T151" s="72"/>
      <c r="V151" s="72"/>
      <c r="W151" s="73"/>
      <c r="Z151" s="73"/>
      <c r="AB151" s="73"/>
      <c r="AD151" s="73"/>
      <c r="AE151" s="73"/>
      <c r="AF151" s="73"/>
      <c r="AH151" s="107"/>
      <c r="AI151" s="107"/>
      <c r="AJ151" s="107"/>
      <c r="AP151" s="72"/>
      <c r="BB151" s="69"/>
      <c r="BC151" s="68"/>
      <c r="BD151" s="68"/>
      <c r="BE151" s="70"/>
      <c r="BF151" s="70"/>
      <c r="BV151" s="107"/>
      <c r="BW151" s="69"/>
      <c r="BX151" s="69"/>
      <c r="BY151" s="68"/>
      <c r="BZ151" s="68"/>
      <c r="CQ151" s="108"/>
    </row>
    <row r="152" spans="20:95" ht="16.5" customHeight="1" x14ac:dyDescent="0.25">
      <c r="T152" s="72"/>
      <c r="V152" s="72"/>
      <c r="W152" s="73"/>
      <c r="Z152" s="73"/>
      <c r="AB152" s="73"/>
      <c r="AD152" s="73"/>
      <c r="AE152" s="73"/>
      <c r="AF152" s="73"/>
      <c r="AH152" s="107"/>
      <c r="AI152" s="107"/>
      <c r="AJ152" s="107"/>
      <c r="AP152" s="72"/>
      <c r="BB152" s="69"/>
      <c r="BC152" s="68"/>
      <c r="BD152" s="68"/>
      <c r="BE152" s="70"/>
      <c r="BF152" s="70"/>
      <c r="BV152" s="107"/>
      <c r="BW152" s="69"/>
      <c r="BX152" s="69"/>
      <c r="BY152" s="68"/>
      <c r="BZ152" s="68"/>
      <c r="CQ152" s="108"/>
    </row>
    <row r="153" spans="20:95" ht="16.5" customHeight="1" x14ac:dyDescent="0.25">
      <c r="T153" s="72"/>
      <c r="V153" s="72"/>
      <c r="W153" s="73"/>
      <c r="Z153" s="73"/>
      <c r="AB153" s="73"/>
      <c r="AD153" s="73"/>
      <c r="AE153" s="73"/>
      <c r="AF153" s="73"/>
      <c r="AH153" s="107"/>
      <c r="AI153" s="107"/>
      <c r="AJ153" s="107"/>
      <c r="AP153" s="72"/>
      <c r="BB153" s="69"/>
      <c r="BC153" s="68"/>
      <c r="BD153" s="68"/>
      <c r="BE153" s="70"/>
      <c r="BF153" s="70"/>
      <c r="BV153" s="107"/>
      <c r="BW153" s="69"/>
      <c r="BX153" s="69"/>
      <c r="BY153" s="68"/>
      <c r="BZ153" s="68"/>
      <c r="CQ153" s="108"/>
    </row>
    <row r="154" spans="20:95" ht="16.5" customHeight="1" x14ac:dyDescent="0.25">
      <c r="T154" s="72"/>
      <c r="V154" s="72"/>
      <c r="W154" s="73"/>
      <c r="Z154" s="73"/>
      <c r="AB154" s="73"/>
      <c r="AD154" s="73"/>
      <c r="AE154" s="73"/>
      <c r="AF154" s="73"/>
      <c r="AH154" s="107"/>
      <c r="AI154" s="107"/>
      <c r="AJ154" s="107"/>
      <c r="AP154" s="72"/>
      <c r="BB154" s="69"/>
      <c r="BC154" s="68"/>
      <c r="BD154" s="68"/>
      <c r="BE154" s="70"/>
      <c r="BF154" s="70"/>
      <c r="BV154" s="107"/>
      <c r="BW154" s="69"/>
      <c r="BX154" s="69"/>
      <c r="BY154" s="68"/>
      <c r="BZ154" s="68"/>
      <c r="CQ154" s="108"/>
    </row>
    <row r="155" spans="20:95" ht="16.5" customHeight="1" x14ac:dyDescent="0.25">
      <c r="T155" s="72"/>
      <c r="V155" s="72"/>
      <c r="W155" s="73"/>
      <c r="Z155" s="73"/>
      <c r="AB155" s="73"/>
      <c r="AD155" s="73"/>
      <c r="AE155" s="73"/>
      <c r="AF155" s="73"/>
      <c r="AH155" s="107"/>
      <c r="AI155" s="107"/>
      <c r="AJ155" s="107"/>
      <c r="AP155" s="72"/>
      <c r="BB155" s="69"/>
      <c r="BC155" s="68"/>
      <c r="BD155" s="68"/>
      <c r="BE155" s="70"/>
      <c r="BF155" s="70"/>
      <c r="BV155" s="107"/>
      <c r="BW155" s="69"/>
      <c r="BX155" s="69"/>
      <c r="BY155" s="68"/>
      <c r="BZ155" s="68"/>
      <c r="CQ155" s="108"/>
    </row>
    <row r="156" spans="20:95" ht="16.5" customHeight="1" x14ac:dyDescent="0.25">
      <c r="T156" s="72"/>
      <c r="V156" s="72"/>
      <c r="W156" s="73"/>
      <c r="Z156" s="73"/>
      <c r="AB156" s="73"/>
      <c r="AD156" s="73"/>
      <c r="AE156" s="73"/>
      <c r="AF156" s="73"/>
      <c r="AH156" s="107"/>
      <c r="AI156" s="107"/>
      <c r="AJ156" s="107"/>
      <c r="AP156" s="72"/>
      <c r="BB156" s="69"/>
      <c r="BC156" s="68"/>
      <c r="BD156" s="68"/>
      <c r="BE156" s="70"/>
      <c r="BF156" s="70"/>
      <c r="BV156" s="107"/>
      <c r="BW156" s="69"/>
      <c r="BX156" s="69"/>
      <c r="BY156" s="68"/>
      <c r="BZ156" s="68"/>
      <c r="CQ156" s="108"/>
    </row>
    <row r="157" spans="20:95" ht="16.5" customHeight="1" x14ac:dyDescent="0.25">
      <c r="T157" s="72"/>
      <c r="V157" s="72"/>
      <c r="W157" s="73"/>
      <c r="Z157" s="73"/>
      <c r="AB157" s="73"/>
      <c r="AD157" s="73"/>
      <c r="AE157" s="73"/>
      <c r="AF157" s="73"/>
      <c r="AH157" s="107"/>
      <c r="AI157" s="107"/>
      <c r="AJ157" s="107"/>
      <c r="AP157" s="72"/>
      <c r="BB157" s="69"/>
      <c r="BC157" s="68"/>
      <c r="BD157" s="68"/>
      <c r="BE157" s="70"/>
      <c r="BF157" s="70"/>
      <c r="BV157" s="107"/>
      <c r="BW157" s="69"/>
      <c r="BX157" s="69"/>
      <c r="BY157" s="68"/>
      <c r="BZ157" s="68"/>
      <c r="CQ157" s="108"/>
    </row>
    <row r="158" spans="20:95" ht="16.5" customHeight="1" x14ac:dyDescent="0.25">
      <c r="T158" s="72"/>
      <c r="V158" s="72"/>
      <c r="W158" s="73"/>
      <c r="Z158" s="73"/>
      <c r="AB158" s="73"/>
      <c r="AD158" s="73"/>
      <c r="AE158" s="73"/>
      <c r="AF158" s="73"/>
      <c r="AH158" s="107"/>
      <c r="AI158" s="107"/>
      <c r="AJ158" s="107"/>
      <c r="AP158" s="72"/>
      <c r="BB158" s="69"/>
      <c r="BC158" s="68"/>
      <c r="BD158" s="68"/>
      <c r="BE158" s="70"/>
      <c r="BF158" s="70"/>
      <c r="BV158" s="107"/>
      <c r="BW158" s="69"/>
      <c r="BX158" s="69"/>
      <c r="BY158" s="68"/>
      <c r="BZ158" s="68"/>
      <c r="CQ158" s="108"/>
    </row>
    <row r="159" spans="20:95" ht="16.5" customHeight="1" x14ac:dyDescent="0.25">
      <c r="T159" s="72"/>
      <c r="V159" s="72"/>
      <c r="W159" s="73"/>
      <c r="Z159" s="73"/>
      <c r="AB159" s="73"/>
      <c r="AD159" s="73"/>
      <c r="AE159" s="73"/>
      <c r="AF159" s="73"/>
      <c r="AH159" s="107"/>
      <c r="AI159" s="107"/>
      <c r="AJ159" s="107"/>
      <c r="AP159" s="72"/>
      <c r="BB159" s="69"/>
      <c r="BC159" s="68"/>
      <c r="BD159" s="68"/>
      <c r="BE159" s="70"/>
      <c r="BF159" s="70"/>
      <c r="BV159" s="107"/>
      <c r="BW159" s="69"/>
      <c r="BX159" s="69"/>
      <c r="BY159" s="68"/>
      <c r="BZ159" s="68"/>
      <c r="CQ159" s="108"/>
    </row>
    <row r="160" spans="20:95" ht="16.5" customHeight="1" x14ac:dyDescent="0.25">
      <c r="T160" s="72"/>
      <c r="V160" s="72"/>
      <c r="W160" s="73"/>
      <c r="Z160" s="73"/>
      <c r="AB160" s="73"/>
      <c r="AD160" s="73"/>
      <c r="AE160" s="73"/>
      <c r="AF160" s="73"/>
      <c r="AH160" s="107"/>
      <c r="AI160" s="107"/>
      <c r="AJ160" s="107"/>
      <c r="AP160" s="72"/>
      <c r="BB160" s="69"/>
      <c r="BC160" s="68"/>
      <c r="BD160" s="68"/>
      <c r="BE160" s="70"/>
      <c r="BF160" s="70"/>
      <c r="BV160" s="107"/>
      <c r="BW160" s="69"/>
      <c r="BX160" s="69"/>
      <c r="BY160" s="68"/>
      <c r="BZ160" s="68"/>
      <c r="CQ160" s="108"/>
    </row>
    <row r="161" spans="20:95" ht="16.5" customHeight="1" x14ac:dyDescent="0.25">
      <c r="T161" s="72"/>
      <c r="V161" s="72"/>
      <c r="W161" s="73"/>
      <c r="Z161" s="73"/>
      <c r="AB161" s="73"/>
      <c r="AD161" s="73"/>
      <c r="AE161" s="73"/>
      <c r="AF161" s="73"/>
      <c r="AH161" s="107"/>
      <c r="AI161" s="107"/>
      <c r="AJ161" s="107"/>
      <c r="AP161" s="72"/>
      <c r="BB161" s="69"/>
      <c r="BC161" s="68"/>
      <c r="BD161" s="68"/>
      <c r="BE161" s="70"/>
      <c r="BF161" s="70"/>
      <c r="BV161" s="107"/>
      <c r="BW161" s="69"/>
      <c r="BX161" s="69"/>
      <c r="BY161" s="68"/>
      <c r="BZ161" s="68"/>
      <c r="CQ161" s="108"/>
    </row>
    <row r="162" spans="20:95" ht="16.5" customHeight="1" x14ac:dyDescent="0.25">
      <c r="T162" s="72"/>
      <c r="V162" s="72"/>
      <c r="W162" s="73"/>
      <c r="Z162" s="73"/>
      <c r="AB162" s="73"/>
      <c r="AD162" s="73"/>
      <c r="AE162" s="73"/>
      <c r="AF162" s="73"/>
      <c r="AH162" s="107"/>
      <c r="AI162" s="107"/>
      <c r="AJ162" s="107"/>
      <c r="AP162" s="72"/>
      <c r="BB162" s="69"/>
      <c r="BC162" s="68"/>
      <c r="BD162" s="68"/>
      <c r="BE162" s="70"/>
      <c r="BF162" s="70"/>
      <c r="BV162" s="107"/>
      <c r="BW162" s="69"/>
      <c r="BX162" s="69"/>
      <c r="BY162" s="68"/>
      <c r="BZ162" s="68"/>
      <c r="CQ162" s="108"/>
    </row>
    <row r="163" spans="20:95" ht="16.5" customHeight="1" x14ac:dyDescent="0.25">
      <c r="T163" s="72"/>
      <c r="V163" s="72"/>
      <c r="W163" s="73"/>
      <c r="Z163" s="73"/>
      <c r="AB163" s="73"/>
      <c r="AD163" s="73"/>
      <c r="AE163" s="73"/>
      <c r="AF163" s="73"/>
      <c r="AH163" s="107"/>
      <c r="AI163" s="107"/>
      <c r="AJ163" s="107"/>
      <c r="AP163" s="72"/>
      <c r="BB163" s="69"/>
      <c r="BC163" s="68"/>
      <c r="BD163" s="68"/>
      <c r="BE163" s="70"/>
      <c r="BF163" s="70"/>
      <c r="BV163" s="107"/>
      <c r="BW163" s="69"/>
      <c r="BX163" s="69"/>
      <c r="BY163" s="68"/>
      <c r="BZ163" s="68"/>
      <c r="CQ163" s="108"/>
    </row>
    <row r="164" spans="20:95" ht="16.5" customHeight="1" x14ac:dyDescent="0.25">
      <c r="T164" s="72"/>
      <c r="V164" s="72"/>
      <c r="W164" s="73"/>
      <c r="Z164" s="73"/>
      <c r="AB164" s="73"/>
      <c r="AD164" s="73"/>
      <c r="AE164" s="73"/>
      <c r="AF164" s="73"/>
      <c r="AH164" s="107"/>
      <c r="AI164" s="107"/>
      <c r="AJ164" s="107"/>
      <c r="AP164" s="72"/>
      <c r="BB164" s="69"/>
      <c r="BC164" s="68"/>
      <c r="BD164" s="68"/>
      <c r="BE164" s="70"/>
      <c r="BF164" s="70"/>
      <c r="BV164" s="107"/>
      <c r="BW164" s="69"/>
      <c r="BX164" s="69"/>
      <c r="BY164" s="68"/>
      <c r="BZ164" s="68"/>
      <c r="CQ164" s="108"/>
    </row>
    <row r="165" spans="20:95" ht="16.5" customHeight="1" x14ac:dyDescent="0.25">
      <c r="T165" s="72"/>
      <c r="V165" s="72"/>
      <c r="W165" s="73"/>
      <c r="Z165" s="73"/>
      <c r="AB165" s="73"/>
      <c r="AD165" s="73"/>
      <c r="AE165" s="73"/>
      <c r="AF165" s="73"/>
      <c r="AH165" s="107"/>
      <c r="AI165" s="107"/>
      <c r="AJ165" s="107"/>
      <c r="AP165" s="72"/>
      <c r="BB165" s="69"/>
      <c r="BC165" s="68"/>
      <c r="BD165" s="68"/>
      <c r="BE165" s="70"/>
      <c r="BF165" s="70"/>
      <c r="BV165" s="107"/>
      <c r="BW165" s="69"/>
      <c r="BX165" s="69"/>
      <c r="BY165" s="68"/>
      <c r="BZ165" s="68"/>
      <c r="CQ165" s="108"/>
    </row>
    <row r="166" spans="20:95" ht="16.5" customHeight="1" x14ac:dyDescent="0.25">
      <c r="T166" s="72"/>
      <c r="V166" s="72"/>
      <c r="W166" s="73"/>
      <c r="Z166" s="73"/>
      <c r="AB166" s="73"/>
      <c r="AD166" s="73"/>
      <c r="AE166" s="73"/>
      <c r="AF166" s="73"/>
      <c r="AH166" s="107"/>
      <c r="AI166" s="107"/>
      <c r="AJ166" s="107"/>
      <c r="AP166" s="72"/>
      <c r="BB166" s="69"/>
      <c r="BC166" s="68"/>
      <c r="BD166" s="68"/>
      <c r="BE166" s="70"/>
      <c r="BF166" s="70"/>
      <c r="BV166" s="107"/>
      <c r="BW166" s="69"/>
      <c r="BX166" s="69"/>
      <c r="BY166" s="68"/>
      <c r="BZ166" s="68"/>
      <c r="CQ166" s="108"/>
    </row>
    <row r="167" spans="20:95" ht="16.5" customHeight="1" x14ac:dyDescent="0.25">
      <c r="T167" s="72"/>
      <c r="V167" s="72"/>
      <c r="W167" s="73"/>
      <c r="Z167" s="73"/>
      <c r="AB167" s="73"/>
      <c r="AD167" s="73"/>
      <c r="AE167" s="73"/>
      <c r="AF167" s="73"/>
      <c r="AH167" s="107"/>
      <c r="AI167" s="107"/>
      <c r="AJ167" s="107"/>
      <c r="AP167" s="72"/>
      <c r="BB167" s="69"/>
      <c r="BC167" s="68"/>
      <c r="BD167" s="68"/>
      <c r="BE167" s="70"/>
      <c r="BF167" s="70"/>
      <c r="BV167" s="107"/>
      <c r="BW167" s="69"/>
      <c r="BX167" s="69"/>
      <c r="BY167" s="68"/>
      <c r="BZ167" s="68"/>
      <c r="CQ167" s="108"/>
    </row>
    <row r="168" spans="20:95" ht="16.5" customHeight="1" x14ac:dyDescent="0.25">
      <c r="T168" s="72"/>
      <c r="V168" s="72"/>
      <c r="W168" s="73"/>
      <c r="Z168" s="73"/>
      <c r="AB168" s="73"/>
      <c r="AD168" s="73"/>
      <c r="AE168" s="73"/>
      <c r="AF168" s="73"/>
      <c r="AH168" s="107"/>
      <c r="AI168" s="107"/>
      <c r="AJ168" s="107"/>
      <c r="AP168" s="72"/>
      <c r="BB168" s="69"/>
      <c r="BC168" s="68"/>
      <c r="BD168" s="68"/>
      <c r="BE168" s="70"/>
      <c r="BF168" s="70"/>
      <c r="BV168" s="107"/>
      <c r="BW168" s="69"/>
      <c r="BX168" s="69"/>
      <c r="BY168" s="68"/>
      <c r="BZ168" s="68"/>
      <c r="CQ168" s="108"/>
    </row>
    <row r="169" spans="20:95" ht="16.5" customHeight="1" x14ac:dyDescent="0.25">
      <c r="T169" s="72"/>
      <c r="V169" s="72"/>
      <c r="W169" s="73"/>
      <c r="Z169" s="73"/>
      <c r="AB169" s="73"/>
      <c r="AD169" s="73"/>
      <c r="AE169" s="73"/>
      <c r="AF169" s="73"/>
      <c r="AH169" s="107"/>
      <c r="AI169" s="107"/>
      <c r="AJ169" s="107"/>
      <c r="AP169" s="72"/>
      <c r="BB169" s="69"/>
      <c r="BC169" s="68"/>
      <c r="BD169" s="68"/>
      <c r="BE169" s="70"/>
      <c r="BF169" s="70"/>
      <c r="BV169" s="107"/>
      <c r="BW169" s="69"/>
      <c r="BX169" s="69"/>
      <c r="BY169" s="68"/>
      <c r="BZ169" s="68"/>
      <c r="CQ169" s="108"/>
    </row>
    <row r="170" spans="20:95" ht="16.5" customHeight="1" x14ac:dyDescent="0.25">
      <c r="T170" s="72"/>
      <c r="V170" s="72"/>
      <c r="W170" s="73"/>
      <c r="Z170" s="73"/>
      <c r="AB170" s="73"/>
      <c r="AD170" s="73"/>
      <c r="AE170" s="73"/>
      <c r="AF170" s="73"/>
      <c r="AH170" s="107"/>
      <c r="AI170" s="107"/>
      <c r="AJ170" s="107"/>
      <c r="AP170" s="72"/>
      <c r="BB170" s="69"/>
      <c r="BC170" s="68"/>
      <c r="BD170" s="68"/>
      <c r="BE170" s="70"/>
      <c r="BF170" s="70"/>
      <c r="BV170" s="107"/>
      <c r="BW170" s="69"/>
      <c r="BX170" s="69"/>
      <c r="BY170" s="68"/>
      <c r="BZ170" s="68"/>
      <c r="CQ170" s="108"/>
    </row>
    <row r="171" spans="20:95" ht="16.5" customHeight="1" x14ac:dyDescent="0.25">
      <c r="T171" s="72"/>
      <c r="V171" s="72"/>
      <c r="W171" s="73"/>
      <c r="Z171" s="73"/>
      <c r="AB171" s="73"/>
      <c r="AD171" s="73"/>
      <c r="AE171" s="73"/>
      <c r="AF171" s="73"/>
      <c r="AH171" s="107"/>
      <c r="AI171" s="107"/>
      <c r="AJ171" s="107"/>
      <c r="AP171" s="72"/>
      <c r="BB171" s="69"/>
      <c r="BC171" s="68"/>
      <c r="BD171" s="68"/>
      <c r="BE171" s="70"/>
      <c r="BF171" s="70"/>
      <c r="BV171" s="107"/>
      <c r="BW171" s="69"/>
      <c r="BX171" s="69"/>
      <c r="BY171" s="68"/>
      <c r="BZ171" s="68"/>
      <c r="CQ171" s="108"/>
    </row>
    <row r="172" spans="20:95" ht="16.5" customHeight="1" x14ac:dyDescent="0.25">
      <c r="T172" s="72"/>
      <c r="V172" s="72"/>
      <c r="W172" s="73"/>
      <c r="Z172" s="73"/>
      <c r="AB172" s="73"/>
      <c r="AD172" s="73"/>
      <c r="AE172" s="73"/>
      <c r="AF172" s="73"/>
      <c r="AH172" s="107"/>
      <c r="AI172" s="107"/>
      <c r="AJ172" s="107"/>
      <c r="AP172" s="72"/>
      <c r="BB172" s="69"/>
      <c r="BC172" s="68"/>
      <c r="BD172" s="68"/>
      <c r="BE172" s="70"/>
      <c r="BF172" s="70"/>
      <c r="BV172" s="107"/>
      <c r="BW172" s="69"/>
      <c r="BX172" s="69"/>
      <c r="BY172" s="68"/>
      <c r="BZ172" s="68"/>
      <c r="CQ172" s="108"/>
    </row>
    <row r="173" spans="20:95" ht="16.5" customHeight="1" x14ac:dyDescent="0.25">
      <c r="T173" s="72"/>
      <c r="V173" s="72"/>
      <c r="W173" s="73"/>
      <c r="Z173" s="73"/>
      <c r="AB173" s="73"/>
      <c r="AD173" s="73"/>
      <c r="AE173" s="73"/>
      <c r="AF173" s="73"/>
      <c r="AH173" s="107"/>
      <c r="AI173" s="107"/>
      <c r="AJ173" s="107"/>
      <c r="AP173" s="72"/>
      <c r="BB173" s="69"/>
      <c r="BC173" s="68"/>
      <c r="BD173" s="68"/>
      <c r="BE173" s="70"/>
      <c r="BF173" s="70"/>
      <c r="BV173" s="107"/>
      <c r="BW173" s="69"/>
      <c r="BX173" s="69"/>
      <c r="BY173" s="68"/>
      <c r="BZ173" s="68"/>
      <c r="CQ173" s="108"/>
    </row>
    <row r="174" spans="20:95" ht="16.5" customHeight="1" x14ac:dyDescent="0.25">
      <c r="T174" s="72"/>
      <c r="V174" s="72"/>
      <c r="W174" s="73"/>
      <c r="Z174" s="73"/>
      <c r="AB174" s="73"/>
      <c r="AD174" s="73"/>
      <c r="AE174" s="73"/>
      <c r="AF174" s="73"/>
      <c r="AH174" s="107"/>
      <c r="AI174" s="107"/>
      <c r="AJ174" s="107"/>
      <c r="AP174" s="72"/>
      <c r="BB174" s="69"/>
      <c r="BC174" s="68"/>
      <c r="BD174" s="68"/>
      <c r="BE174" s="70"/>
      <c r="BF174" s="70"/>
      <c r="BV174" s="107"/>
      <c r="BW174" s="69"/>
      <c r="BX174" s="69"/>
      <c r="BY174" s="68"/>
      <c r="BZ174" s="68"/>
      <c r="CQ174" s="108"/>
    </row>
    <row r="175" spans="20:95" ht="16.5" customHeight="1" x14ac:dyDescent="0.25">
      <c r="T175" s="72"/>
      <c r="V175" s="72"/>
      <c r="W175" s="73"/>
      <c r="Z175" s="73"/>
      <c r="AB175" s="73"/>
      <c r="AD175" s="73"/>
      <c r="AE175" s="73"/>
      <c r="AF175" s="73"/>
      <c r="AH175" s="107"/>
      <c r="AI175" s="107"/>
      <c r="AJ175" s="107"/>
      <c r="AP175" s="72"/>
      <c r="BB175" s="69"/>
      <c r="BC175" s="68"/>
      <c r="BD175" s="68"/>
      <c r="BE175" s="70"/>
      <c r="BF175" s="70"/>
      <c r="BV175" s="107"/>
      <c r="BW175" s="69"/>
      <c r="BX175" s="69"/>
      <c r="BY175" s="68"/>
      <c r="BZ175" s="68"/>
      <c r="CQ175" s="108"/>
    </row>
    <row r="176" spans="20:95" ht="16.5" customHeight="1" x14ac:dyDescent="0.25">
      <c r="T176" s="72"/>
      <c r="V176" s="72"/>
      <c r="W176" s="73"/>
      <c r="Z176" s="73"/>
      <c r="AB176" s="73"/>
      <c r="AD176" s="73"/>
      <c r="AE176" s="73"/>
      <c r="AF176" s="73"/>
      <c r="AH176" s="107"/>
      <c r="AI176" s="107"/>
      <c r="AJ176" s="107"/>
      <c r="AP176" s="72"/>
      <c r="BB176" s="69"/>
      <c r="BC176" s="68"/>
      <c r="BD176" s="68"/>
      <c r="BE176" s="70"/>
      <c r="BF176" s="70"/>
      <c r="BV176" s="107"/>
      <c r="BW176" s="69"/>
      <c r="BX176" s="69"/>
      <c r="BY176" s="68"/>
      <c r="BZ176" s="68"/>
      <c r="CQ176" s="108"/>
    </row>
    <row r="177" spans="20:95" ht="16.5" customHeight="1" x14ac:dyDescent="0.25">
      <c r="T177" s="72"/>
      <c r="V177" s="72"/>
      <c r="W177" s="73"/>
      <c r="Z177" s="73"/>
      <c r="AB177" s="73"/>
      <c r="AD177" s="73"/>
      <c r="AE177" s="73"/>
      <c r="AF177" s="73"/>
      <c r="AH177" s="107"/>
      <c r="AI177" s="107"/>
      <c r="AJ177" s="107"/>
      <c r="AP177" s="72"/>
      <c r="BB177" s="69"/>
      <c r="BC177" s="68"/>
      <c r="BD177" s="68"/>
      <c r="BE177" s="70"/>
      <c r="BF177" s="70"/>
      <c r="BV177" s="107"/>
      <c r="BW177" s="69"/>
      <c r="BX177" s="69"/>
      <c r="BY177" s="68"/>
      <c r="BZ177" s="68"/>
      <c r="CQ177" s="108"/>
    </row>
    <row r="178" spans="20:95" ht="16.5" customHeight="1" x14ac:dyDescent="0.25">
      <c r="T178" s="72"/>
      <c r="V178" s="72"/>
      <c r="W178" s="73"/>
      <c r="Z178" s="73"/>
      <c r="AB178" s="73"/>
      <c r="AD178" s="73"/>
      <c r="AE178" s="73"/>
      <c r="AF178" s="73"/>
      <c r="AH178" s="107"/>
      <c r="AI178" s="107"/>
      <c r="AJ178" s="107"/>
      <c r="AP178" s="72"/>
      <c r="BB178" s="69"/>
      <c r="BC178" s="68"/>
      <c r="BD178" s="68"/>
      <c r="BE178" s="70"/>
      <c r="BF178" s="70"/>
      <c r="BV178" s="107"/>
      <c r="BW178" s="69"/>
      <c r="BX178" s="69"/>
      <c r="BY178" s="68"/>
      <c r="BZ178" s="68"/>
      <c r="CQ178" s="108"/>
    </row>
    <row r="179" spans="20:95" ht="16.5" customHeight="1" x14ac:dyDescent="0.25">
      <c r="T179" s="72"/>
      <c r="V179" s="72"/>
      <c r="W179" s="73"/>
      <c r="Z179" s="73"/>
      <c r="AB179" s="73"/>
      <c r="AD179" s="73"/>
      <c r="AE179" s="73"/>
      <c r="AF179" s="73"/>
      <c r="AH179" s="107"/>
      <c r="AI179" s="107"/>
      <c r="AJ179" s="107"/>
      <c r="AP179" s="72"/>
      <c r="BB179" s="69"/>
      <c r="BC179" s="68"/>
      <c r="BD179" s="68"/>
      <c r="BE179" s="70"/>
      <c r="BF179" s="70"/>
      <c r="BV179" s="107"/>
      <c r="BW179" s="69"/>
      <c r="BX179" s="69"/>
      <c r="BY179" s="68"/>
      <c r="BZ179" s="68"/>
      <c r="CQ179" s="108"/>
    </row>
    <row r="180" spans="20:95" ht="16.5" customHeight="1" x14ac:dyDescent="0.25">
      <c r="T180" s="72"/>
      <c r="V180" s="72"/>
      <c r="W180" s="73"/>
      <c r="Z180" s="73"/>
      <c r="AB180" s="73"/>
      <c r="AD180" s="73"/>
      <c r="AE180" s="73"/>
      <c r="AF180" s="73"/>
      <c r="AH180" s="107"/>
      <c r="AI180" s="107"/>
      <c r="AJ180" s="107"/>
      <c r="AP180" s="72"/>
      <c r="BB180" s="69"/>
      <c r="BC180" s="68"/>
      <c r="BD180" s="68"/>
      <c r="BE180" s="70"/>
      <c r="BF180" s="70"/>
      <c r="BV180" s="107"/>
      <c r="BW180" s="69"/>
      <c r="BX180" s="69"/>
      <c r="BY180" s="68"/>
      <c r="BZ180" s="68"/>
      <c r="CQ180" s="108"/>
    </row>
    <row r="181" spans="20:95" ht="16.5" customHeight="1" x14ac:dyDescent="0.25">
      <c r="T181" s="72"/>
      <c r="V181" s="72"/>
      <c r="W181" s="73"/>
      <c r="Z181" s="73"/>
      <c r="AB181" s="73"/>
      <c r="AD181" s="73"/>
      <c r="AE181" s="73"/>
      <c r="AF181" s="73"/>
      <c r="AH181" s="107"/>
      <c r="AI181" s="107"/>
      <c r="AJ181" s="107"/>
      <c r="AP181" s="72"/>
      <c r="BB181" s="69"/>
      <c r="BC181" s="68"/>
      <c r="BD181" s="68"/>
      <c r="BE181" s="70"/>
      <c r="BF181" s="70"/>
      <c r="BV181" s="107"/>
      <c r="BW181" s="69"/>
      <c r="BX181" s="69"/>
      <c r="BY181" s="68"/>
      <c r="BZ181" s="68"/>
      <c r="CQ181" s="108"/>
    </row>
    <row r="182" spans="20:95" ht="16.5" customHeight="1" x14ac:dyDescent="0.25">
      <c r="T182" s="72"/>
      <c r="V182" s="72"/>
      <c r="W182" s="73"/>
      <c r="Z182" s="73"/>
      <c r="AB182" s="73"/>
      <c r="AD182" s="73"/>
      <c r="AE182" s="73"/>
      <c r="AF182" s="73"/>
      <c r="AH182" s="107"/>
      <c r="AI182" s="107"/>
      <c r="AJ182" s="107"/>
      <c r="AP182" s="72"/>
      <c r="BB182" s="69"/>
      <c r="BC182" s="68"/>
      <c r="BD182" s="68"/>
      <c r="BE182" s="70"/>
      <c r="BF182" s="70"/>
      <c r="BV182" s="107"/>
      <c r="BW182" s="69"/>
      <c r="BX182" s="69"/>
      <c r="BY182" s="68"/>
      <c r="BZ182" s="68"/>
      <c r="CQ182" s="108"/>
    </row>
    <row r="183" spans="20:95" ht="16.5" customHeight="1" x14ac:dyDescent="0.25">
      <c r="T183" s="72"/>
      <c r="V183" s="72"/>
      <c r="W183" s="73"/>
      <c r="Z183" s="73"/>
      <c r="AB183" s="73"/>
      <c r="AD183" s="73"/>
      <c r="AE183" s="73"/>
      <c r="AF183" s="73"/>
      <c r="AH183" s="107"/>
      <c r="AI183" s="107"/>
      <c r="AJ183" s="107"/>
      <c r="AP183" s="72"/>
      <c r="BB183" s="69"/>
      <c r="BC183" s="68"/>
      <c r="BD183" s="68"/>
      <c r="BE183" s="70"/>
      <c r="BF183" s="70"/>
      <c r="BV183" s="107"/>
      <c r="BW183" s="69"/>
      <c r="BX183" s="69"/>
      <c r="BY183" s="68"/>
      <c r="BZ183" s="68"/>
      <c r="CQ183" s="108"/>
    </row>
    <row r="184" spans="20:95" ht="16.5" customHeight="1" x14ac:dyDescent="0.25">
      <c r="T184" s="72"/>
      <c r="V184" s="72"/>
      <c r="W184" s="73"/>
      <c r="Z184" s="73"/>
      <c r="AB184" s="73"/>
      <c r="AD184" s="73"/>
      <c r="AE184" s="73"/>
      <c r="AF184" s="73"/>
      <c r="AH184" s="107"/>
      <c r="AI184" s="107"/>
      <c r="AJ184" s="107"/>
      <c r="AP184" s="72"/>
      <c r="BB184" s="69"/>
      <c r="BC184" s="68"/>
      <c r="BD184" s="68"/>
      <c r="BE184" s="70"/>
      <c r="BF184" s="70"/>
      <c r="BV184" s="107"/>
      <c r="BW184" s="69"/>
      <c r="BX184" s="69"/>
      <c r="BY184" s="68"/>
      <c r="BZ184" s="68"/>
      <c r="CQ184" s="108"/>
    </row>
    <row r="185" spans="20:95" ht="16.5" customHeight="1" x14ac:dyDescent="0.25">
      <c r="T185" s="72"/>
      <c r="V185" s="72"/>
      <c r="W185" s="73"/>
      <c r="Z185" s="73"/>
      <c r="AB185" s="73"/>
      <c r="AD185" s="73"/>
      <c r="AE185" s="73"/>
      <c r="AF185" s="73"/>
      <c r="AH185" s="107"/>
      <c r="AI185" s="107"/>
      <c r="AJ185" s="107"/>
      <c r="AP185" s="72"/>
      <c r="BB185" s="69"/>
      <c r="BC185" s="68"/>
      <c r="BD185" s="68"/>
      <c r="BE185" s="70"/>
      <c r="BF185" s="70"/>
      <c r="BV185" s="107"/>
      <c r="BW185" s="69"/>
      <c r="BX185" s="69"/>
      <c r="BY185" s="68"/>
      <c r="BZ185" s="68"/>
      <c r="CQ185" s="108"/>
    </row>
    <row r="186" spans="20:95" ht="16.5" customHeight="1" x14ac:dyDescent="0.25">
      <c r="T186" s="72"/>
      <c r="V186" s="72"/>
      <c r="W186" s="73"/>
      <c r="Z186" s="73"/>
      <c r="AB186" s="73"/>
      <c r="AD186" s="73"/>
      <c r="AE186" s="73"/>
      <c r="AF186" s="73"/>
      <c r="AH186" s="107"/>
      <c r="AI186" s="107"/>
      <c r="AJ186" s="107"/>
      <c r="AP186" s="72"/>
      <c r="BB186" s="69"/>
      <c r="BC186" s="68"/>
      <c r="BD186" s="68"/>
      <c r="BE186" s="70"/>
      <c r="BF186" s="70"/>
      <c r="BV186" s="107"/>
      <c r="BW186" s="69"/>
      <c r="BX186" s="69"/>
      <c r="BY186" s="68"/>
      <c r="BZ186" s="68"/>
      <c r="CQ186" s="108"/>
    </row>
    <row r="187" spans="20:95" ht="16.5" customHeight="1" x14ac:dyDescent="0.25">
      <c r="T187" s="72"/>
      <c r="V187" s="72"/>
      <c r="W187" s="73"/>
      <c r="Z187" s="73"/>
      <c r="AB187" s="73"/>
      <c r="AD187" s="73"/>
      <c r="AE187" s="73"/>
      <c r="AF187" s="73"/>
      <c r="AH187" s="107"/>
      <c r="AI187" s="107"/>
      <c r="AJ187" s="107"/>
      <c r="AP187" s="72"/>
      <c r="BB187" s="69"/>
      <c r="BC187" s="68"/>
      <c r="BD187" s="68"/>
      <c r="BE187" s="70"/>
      <c r="BF187" s="70"/>
      <c r="BV187" s="107"/>
      <c r="BW187" s="69"/>
      <c r="BX187" s="69"/>
      <c r="BY187" s="68"/>
      <c r="BZ187" s="68"/>
      <c r="CQ187" s="108"/>
    </row>
    <row r="188" spans="20:95" ht="16.5" customHeight="1" x14ac:dyDescent="0.25">
      <c r="T188" s="72"/>
      <c r="V188" s="72"/>
      <c r="W188" s="73"/>
      <c r="Z188" s="73"/>
      <c r="AB188" s="73"/>
      <c r="AD188" s="73"/>
      <c r="AE188" s="73"/>
      <c r="AF188" s="73"/>
      <c r="AH188" s="107"/>
      <c r="AI188" s="107"/>
      <c r="AJ188" s="107"/>
      <c r="AP188" s="72"/>
      <c r="BB188" s="69"/>
      <c r="BC188" s="68"/>
      <c r="BD188" s="68"/>
      <c r="BE188" s="70"/>
      <c r="BF188" s="70"/>
      <c r="BV188" s="107"/>
      <c r="BW188" s="69"/>
      <c r="BX188" s="69"/>
      <c r="BY188" s="68"/>
      <c r="BZ188" s="68"/>
      <c r="CQ188" s="108"/>
    </row>
    <row r="189" spans="20:95" ht="16.5" customHeight="1" x14ac:dyDescent="0.25">
      <c r="T189" s="72"/>
      <c r="V189" s="72"/>
      <c r="W189" s="73"/>
      <c r="Z189" s="73"/>
      <c r="AB189" s="73"/>
      <c r="AD189" s="73"/>
      <c r="AE189" s="73"/>
      <c r="AF189" s="73"/>
      <c r="AH189" s="107"/>
      <c r="AI189" s="107"/>
      <c r="AJ189" s="107"/>
      <c r="AP189" s="72"/>
      <c r="BB189" s="69"/>
      <c r="BC189" s="68"/>
      <c r="BD189" s="68"/>
      <c r="BE189" s="70"/>
      <c r="BF189" s="70"/>
      <c r="BV189" s="107"/>
      <c r="BW189" s="69"/>
      <c r="BX189" s="69"/>
      <c r="BY189" s="68"/>
      <c r="BZ189" s="68"/>
      <c r="CQ189" s="108"/>
    </row>
    <row r="190" spans="20:95" ht="16.5" customHeight="1" x14ac:dyDescent="0.25">
      <c r="T190" s="72"/>
      <c r="V190" s="72"/>
      <c r="W190" s="73"/>
      <c r="Z190" s="73"/>
      <c r="AB190" s="73"/>
      <c r="AD190" s="73"/>
      <c r="AE190" s="73"/>
      <c r="AF190" s="73"/>
      <c r="AH190" s="107"/>
      <c r="AI190" s="107"/>
      <c r="AJ190" s="107"/>
      <c r="AP190" s="72"/>
      <c r="BB190" s="69"/>
      <c r="BC190" s="68"/>
      <c r="BD190" s="68"/>
      <c r="BE190" s="70"/>
      <c r="BF190" s="70"/>
      <c r="BV190" s="107"/>
      <c r="BW190" s="69"/>
      <c r="BX190" s="69"/>
      <c r="BY190" s="68"/>
      <c r="BZ190" s="68"/>
      <c r="CQ190" s="108"/>
    </row>
    <row r="191" spans="20:95" ht="16.5" customHeight="1" x14ac:dyDescent="0.25">
      <c r="T191" s="72"/>
      <c r="V191" s="72"/>
      <c r="W191" s="73"/>
      <c r="Z191" s="73"/>
      <c r="AB191" s="73"/>
      <c r="AD191" s="73"/>
      <c r="AE191" s="73"/>
      <c r="AF191" s="73"/>
      <c r="AH191" s="107"/>
      <c r="AI191" s="107"/>
      <c r="AJ191" s="107"/>
      <c r="AP191" s="72"/>
      <c r="BB191" s="69"/>
      <c r="BC191" s="68"/>
      <c r="BD191" s="68"/>
      <c r="BE191" s="70"/>
      <c r="BF191" s="70"/>
      <c r="BV191" s="107"/>
      <c r="BW191" s="69"/>
      <c r="BX191" s="69"/>
      <c r="BY191" s="68"/>
      <c r="BZ191" s="68"/>
      <c r="CQ191" s="108"/>
    </row>
    <row r="192" spans="20:95" ht="16.5" customHeight="1" x14ac:dyDescent="0.25">
      <c r="T192" s="72"/>
      <c r="V192" s="72"/>
      <c r="W192" s="73"/>
      <c r="Z192" s="73"/>
      <c r="AB192" s="73"/>
      <c r="AD192" s="73"/>
      <c r="AE192" s="73"/>
      <c r="AF192" s="73"/>
      <c r="AH192" s="107"/>
      <c r="AI192" s="107"/>
      <c r="AJ192" s="107"/>
      <c r="AP192" s="72"/>
      <c r="BB192" s="69"/>
      <c r="BC192" s="68"/>
      <c r="BD192" s="68"/>
      <c r="BE192" s="70"/>
      <c r="BF192" s="70"/>
      <c r="BV192" s="107"/>
      <c r="BW192" s="69"/>
      <c r="BX192" s="69"/>
      <c r="BY192" s="68"/>
      <c r="BZ192" s="68"/>
      <c r="CQ192" s="108"/>
    </row>
    <row r="193" spans="20:95" ht="16.5" customHeight="1" x14ac:dyDescent="0.25">
      <c r="T193" s="72"/>
      <c r="V193" s="72"/>
      <c r="W193" s="73"/>
      <c r="Z193" s="73"/>
      <c r="AB193" s="73"/>
      <c r="AD193" s="73"/>
      <c r="AE193" s="73"/>
      <c r="AF193" s="73"/>
      <c r="AH193" s="107"/>
      <c r="AI193" s="107"/>
      <c r="AJ193" s="107"/>
      <c r="AP193" s="72"/>
      <c r="BB193" s="69"/>
      <c r="BC193" s="68"/>
      <c r="BD193" s="68"/>
      <c r="BE193" s="70"/>
      <c r="BF193" s="70"/>
      <c r="BV193" s="107"/>
      <c r="BW193" s="69"/>
      <c r="BX193" s="69"/>
      <c r="BY193" s="68"/>
      <c r="BZ193" s="68"/>
      <c r="CQ193" s="108"/>
    </row>
    <row r="194" spans="20:95" ht="16.5" customHeight="1" x14ac:dyDescent="0.25">
      <c r="T194" s="72"/>
      <c r="V194" s="72"/>
      <c r="W194" s="73"/>
      <c r="Z194" s="73"/>
      <c r="AB194" s="73"/>
      <c r="AD194" s="73"/>
      <c r="AE194" s="73"/>
      <c r="AF194" s="73"/>
      <c r="AH194" s="107"/>
      <c r="AI194" s="107"/>
      <c r="AJ194" s="107"/>
      <c r="AP194" s="72"/>
      <c r="BB194" s="69"/>
      <c r="BC194" s="68"/>
      <c r="BD194" s="68"/>
      <c r="BE194" s="70"/>
      <c r="BF194" s="70"/>
      <c r="BV194" s="107"/>
      <c r="BW194" s="69"/>
      <c r="BX194" s="69"/>
      <c r="BY194" s="68"/>
      <c r="BZ194" s="68"/>
      <c r="CQ194" s="108"/>
    </row>
    <row r="195" spans="20:95" ht="16.5" customHeight="1" x14ac:dyDescent="0.25">
      <c r="T195" s="72"/>
      <c r="V195" s="72"/>
      <c r="W195" s="73"/>
      <c r="Z195" s="73"/>
      <c r="AB195" s="73"/>
      <c r="AD195" s="73"/>
      <c r="AE195" s="73"/>
      <c r="AF195" s="73"/>
      <c r="AH195" s="107"/>
      <c r="AI195" s="107"/>
      <c r="AJ195" s="107"/>
      <c r="AP195" s="72"/>
      <c r="BB195" s="69"/>
      <c r="BC195" s="68"/>
      <c r="BD195" s="68"/>
      <c r="BE195" s="70"/>
      <c r="BF195" s="70"/>
      <c r="BV195" s="107"/>
      <c r="BW195" s="69"/>
      <c r="BX195" s="69"/>
      <c r="BY195" s="68"/>
      <c r="BZ195" s="68"/>
      <c r="CQ195" s="108"/>
    </row>
    <row r="196" spans="20:95" ht="16.5" customHeight="1" x14ac:dyDescent="0.25">
      <c r="T196" s="72"/>
      <c r="V196" s="72"/>
      <c r="W196" s="73"/>
      <c r="Z196" s="73"/>
      <c r="AB196" s="73"/>
      <c r="AD196" s="73"/>
      <c r="AE196" s="73"/>
      <c r="AF196" s="73"/>
      <c r="AH196" s="107"/>
      <c r="AI196" s="107"/>
      <c r="AJ196" s="107"/>
      <c r="AP196" s="72"/>
      <c r="BB196" s="69"/>
      <c r="BC196" s="68"/>
      <c r="BD196" s="68"/>
      <c r="BE196" s="70"/>
      <c r="BF196" s="70"/>
      <c r="BV196" s="107"/>
      <c r="BW196" s="69"/>
      <c r="BX196" s="69"/>
      <c r="BY196" s="68"/>
      <c r="BZ196" s="68"/>
      <c r="CQ196" s="108"/>
    </row>
    <row r="197" spans="20:95" ht="16.5" customHeight="1" x14ac:dyDescent="0.25">
      <c r="T197" s="72"/>
      <c r="V197" s="72"/>
      <c r="W197" s="73"/>
      <c r="Z197" s="73"/>
      <c r="AB197" s="73"/>
      <c r="AD197" s="73"/>
      <c r="AE197" s="73"/>
      <c r="AF197" s="73"/>
      <c r="AH197" s="107"/>
      <c r="AI197" s="107"/>
      <c r="AJ197" s="107"/>
      <c r="AP197" s="72"/>
      <c r="BB197" s="69"/>
      <c r="BC197" s="68"/>
      <c r="BD197" s="68"/>
      <c r="BE197" s="70"/>
      <c r="BF197" s="70"/>
      <c r="BV197" s="107"/>
      <c r="BW197" s="69"/>
      <c r="BX197" s="69"/>
      <c r="BY197" s="68"/>
      <c r="BZ197" s="68"/>
      <c r="CQ197" s="108"/>
    </row>
    <row r="198" spans="20:95" ht="16.5" customHeight="1" x14ac:dyDescent="0.25">
      <c r="T198" s="72"/>
      <c r="V198" s="72"/>
      <c r="W198" s="73"/>
      <c r="Z198" s="73"/>
      <c r="AB198" s="73"/>
      <c r="AD198" s="73"/>
      <c r="AE198" s="73"/>
      <c r="AF198" s="73"/>
      <c r="AH198" s="107"/>
      <c r="AI198" s="107"/>
      <c r="AJ198" s="107"/>
      <c r="AP198" s="72"/>
      <c r="BB198" s="69"/>
      <c r="BC198" s="68"/>
      <c r="BD198" s="68"/>
      <c r="BE198" s="70"/>
      <c r="BF198" s="70"/>
      <c r="BV198" s="107"/>
      <c r="BW198" s="69"/>
      <c r="BX198" s="69"/>
      <c r="BY198" s="68"/>
      <c r="BZ198" s="68"/>
      <c r="CQ198" s="108"/>
    </row>
    <row r="199" spans="20:95" ht="16.5" customHeight="1" x14ac:dyDescent="0.25">
      <c r="T199" s="72"/>
      <c r="V199" s="72"/>
      <c r="W199" s="73"/>
      <c r="Z199" s="73"/>
      <c r="AB199" s="73"/>
      <c r="AD199" s="73"/>
      <c r="AE199" s="73"/>
      <c r="AF199" s="73"/>
      <c r="AH199" s="107"/>
      <c r="AI199" s="107"/>
      <c r="AJ199" s="107"/>
      <c r="AP199" s="72"/>
      <c r="BB199" s="69"/>
      <c r="BC199" s="68"/>
      <c r="BD199" s="68"/>
      <c r="BE199" s="70"/>
      <c r="BF199" s="70"/>
      <c r="BV199" s="107"/>
      <c r="BW199" s="69"/>
      <c r="BX199" s="69"/>
      <c r="BY199" s="68"/>
      <c r="BZ199" s="68"/>
      <c r="CQ199" s="108"/>
    </row>
    <row r="200" spans="20:95" ht="16.5" customHeight="1" x14ac:dyDescent="0.25">
      <c r="T200" s="72"/>
      <c r="V200" s="72"/>
      <c r="W200" s="73"/>
      <c r="Z200" s="73"/>
      <c r="AB200" s="73"/>
      <c r="AD200" s="73"/>
      <c r="AE200" s="73"/>
      <c r="AF200" s="73"/>
      <c r="AH200" s="107"/>
      <c r="AI200" s="107"/>
      <c r="AJ200" s="107"/>
      <c r="AP200" s="72"/>
      <c r="BB200" s="69"/>
      <c r="BC200" s="68"/>
      <c r="BD200" s="68"/>
      <c r="BE200" s="70"/>
      <c r="BF200" s="70"/>
      <c r="BV200" s="107"/>
      <c r="BW200" s="69"/>
      <c r="BX200" s="69"/>
      <c r="BY200" s="68"/>
      <c r="BZ200" s="68"/>
      <c r="CQ200" s="108"/>
    </row>
    <row r="201" spans="20:95" ht="16.5" customHeight="1" x14ac:dyDescent="0.25">
      <c r="T201" s="72"/>
      <c r="V201" s="72"/>
      <c r="W201" s="73"/>
      <c r="Z201" s="73"/>
      <c r="AB201" s="73"/>
      <c r="AD201" s="73"/>
      <c r="AE201" s="73"/>
      <c r="AF201" s="73"/>
      <c r="AH201" s="107"/>
      <c r="AI201" s="107"/>
      <c r="AJ201" s="107"/>
      <c r="AP201" s="72"/>
      <c r="BB201" s="69"/>
      <c r="BC201" s="68"/>
      <c r="BD201" s="68"/>
      <c r="BE201" s="70"/>
      <c r="BF201" s="70"/>
      <c r="BV201" s="107"/>
      <c r="BW201" s="69"/>
      <c r="BX201" s="69"/>
      <c r="BY201" s="68"/>
      <c r="BZ201" s="68"/>
      <c r="CQ201" s="108"/>
    </row>
    <row r="202" spans="20:95" ht="16.5" customHeight="1" x14ac:dyDescent="0.25">
      <c r="T202" s="72"/>
      <c r="V202" s="72"/>
      <c r="W202" s="73"/>
      <c r="Z202" s="73"/>
      <c r="AB202" s="73"/>
      <c r="AD202" s="73"/>
      <c r="AE202" s="73"/>
      <c r="AF202" s="73"/>
      <c r="AH202" s="107"/>
      <c r="AI202" s="107"/>
      <c r="AJ202" s="107"/>
      <c r="AP202" s="72"/>
      <c r="BB202" s="69"/>
      <c r="BC202" s="68"/>
      <c r="BD202" s="68"/>
      <c r="BE202" s="70"/>
      <c r="BF202" s="70"/>
      <c r="BV202" s="107"/>
      <c r="BW202" s="69"/>
      <c r="BX202" s="69"/>
      <c r="BY202" s="68"/>
      <c r="BZ202" s="68"/>
      <c r="CQ202" s="108"/>
    </row>
    <row r="203" spans="20:95" ht="16.5" customHeight="1" x14ac:dyDescent="0.25">
      <c r="T203" s="72"/>
      <c r="V203" s="72"/>
      <c r="W203" s="73"/>
      <c r="Z203" s="73"/>
      <c r="AB203" s="73"/>
      <c r="AD203" s="73"/>
      <c r="AE203" s="73"/>
      <c r="AF203" s="73"/>
      <c r="AH203" s="107"/>
      <c r="AI203" s="107"/>
      <c r="AJ203" s="107"/>
      <c r="AP203" s="72"/>
      <c r="BB203" s="69"/>
      <c r="BC203" s="68"/>
      <c r="BD203" s="68"/>
      <c r="BE203" s="70"/>
      <c r="BF203" s="70"/>
      <c r="BV203" s="107"/>
      <c r="BW203" s="69"/>
      <c r="BX203" s="69"/>
      <c r="BY203" s="68"/>
      <c r="BZ203" s="68"/>
      <c r="CQ203" s="108"/>
    </row>
    <row r="204" spans="20:95" ht="16.5" customHeight="1" x14ac:dyDescent="0.25">
      <c r="T204" s="72"/>
      <c r="V204" s="72"/>
      <c r="W204" s="73"/>
      <c r="Z204" s="73"/>
      <c r="AB204" s="73"/>
      <c r="AD204" s="73"/>
      <c r="AE204" s="73"/>
      <c r="AF204" s="73"/>
      <c r="AH204" s="107"/>
      <c r="AI204" s="107"/>
      <c r="AJ204" s="107"/>
      <c r="AP204" s="72"/>
      <c r="BB204" s="69"/>
      <c r="BC204" s="68"/>
      <c r="BD204" s="68"/>
      <c r="BE204" s="70"/>
      <c r="BF204" s="70"/>
      <c r="BV204" s="107"/>
      <c r="BW204" s="69"/>
      <c r="BX204" s="69"/>
      <c r="BY204" s="68"/>
      <c r="BZ204" s="68"/>
      <c r="CQ204" s="108"/>
    </row>
    <row r="205" spans="20:95" ht="16.5" customHeight="1" x14ac:dyDescent="0.25">
      <c r="T205" s="72"/>
      <c r="V205" s="72"/>
      <c r="W205" s="73"/>
      <c r="Z205" s="73"/>
      <c r="AB205" s="73"/>
      <c r="AD205" s="73"/>
      <c r="AE205" s="73"/>
      <c r="AF205" s="73"/>
      <c r="AH205" s="107"/>
      <c r="AI205" s="107"/>
      <c r="AJ205" s="107"/>
      <c r="AP205" s="72"/>
      <c r="BB205" s="69"/>
      <c r="BC205" s="68"/>
      <c r="BD205" s="68"/>
      <c r="BE205" s="70"/>
      <c r="BF205" s="70"/>
      <c r="BV205" s="107"/>
      <c r="BW205" s="69"/>
      <c r="BX205" s="69"/>
      <c r="BY205" s="68"/>
      <c r="BZ205" s="68"/>
      <c r="CQ205" s="108"/>
    </row>
    <row r="206" spans="20:95" ht="16.5" customHeight="1" x14ac:dyDescent="0.25">
      <c r="T206" s="72"/>
      <c r="V206" s="72"/>
      <c r="W206" s="73"/>
      <c r="Z206" s="73"/>
      <c r="AB206" s="73"/>
      <c r="AD206" s="73"/>
      <c r="AE206" s="73"/>
      <c r="AF206" s="73"/>
      <c r="AH206" s="107"/>
      <c r="AI206" s="107"/>
      <c r="AJ206" s="107"/>
      <c r="AP206" s="72"/>
      <c r="BB206" s="69"/>
      <c r="BC206" s="68"/>
      <c r="BD206" s="68"/>
      <c r="BE206" s="70"/>
      <c r="BF206" s="70"/>
      <c r="BV206" s="107"/>
      <c r="BW206" s="69"/>
      <c r="BX206" s="69"/>
      <c r="BY206" s="68"/>
      <c r="BZ206" s="68"/>
      <c r="CQ206" s="108"/>
    </row>
    <row r="207" spans="20:95" ht="16.5" customHeight="1" x14ac:dyDescent="0.25">
      <c r="T207" s="72"/>
      <c r="V207" s="72"/>
      <c r="W207" s="73"/>
      <c r="Z207" s="73"/>
      <c r="AB207" s="73"/>
      <c r="AD207" s="73"/>
      <c r="AE207" s="73"/>
      <c r="AF207" s="73"/>
      <c r="AH207" s="107"/>
      <c r="AI207" s="107"/>
      <c r="AJ207" s="107"/>
      <c r="AP207" s="72"/>
      <c r="BB207" s="69"/>
      <c r="BC207" s="68"/>
      <c r="BD207" s="68"/>
      <c r="BE207" s="70"/>
      <c r="BF207" s="70"/>
      <c r="BV207" s="107"/>
      <c r="BW207" s="69"/>
      <c r="BX207" s="69"/>
      <c r="BY207" s="68"/>
      <c r="BZ207" s="68"/>
      <c r="CQ207" s="108"/>
    </row>
    <row r="208" spans="20:95" ht="16.5" customHeight="1" x14ac:dyDescent="0.25">
      <c r="T208" s="72"/>
      <c r="V208" s="72"/>
      <c r="W208" s="73"/>
      <c r="Z208" s="73"/>
      <c r="AB208" s="73"/>
      <c r="AD208" s="73"/>
      <c r="AE208" s="73"/>
      <c r="AF208" s="73"/>
      <c r="AH208" s="107"/>
      <c r="AI208" s="107"/>
      <c r="AJ208" s="107"/>
      <c r="AP208" s="72"/>
      <c r="BB208" s="69"/>
      <c r="BC208" s="68"/>
      <c r="BD208" s="68"/>
      <c r="BE208" s="70"/>
      <c r="BF208" s="70"/>
      <c r="BV208" s="107"/>
      <c r="BW208" s="69"/>
      <c r="BX208" s="69"/>
      <c r="BY208" s="68"/>
      <c r="BZ208" s="68"/>
      <c r="CQ208" s="108"/>
    </row>
    <row r="209" spans="20:95" ht="16.5" customHeight="1" x14ac:dyDescent="0.25">
      <c r="T209" s="72"/>
      <c r="V209" s="72"/>
      <c r="W209" s="73"/>
      <c r="Z209" s="73"/>
      <c r="AB209" s="73"/>
      <c r="AD209" s="73"/>
      <c r="AE209" s="73"/>
      <c r="AF209" s="73"/>
      <c r="AH209" s="107"/>
      <c r="AI209" s="107"/>
      <c r="AJ209" s="107"/>
      <c r="AP209" s="72"/>
      <c r="BB209" s="69"/>
      <c r="BC209" s="68"/>
      <c r="BD209" s="68"/>
      <c r="BE209" s="70"/>
      <c r="BF209" s="70"/>
      <c r="BV209" s="107"/>
      <c r="BW209" s="69"/>
      <c r="BX209" s="69"/>
      <c r="BY209" s="68"/>
      <c r="BZ209" s="68"/>
      <c r="CQ209" s="108"/>
    </row>
    <row r="210" spans="20:95" ht="16.5" customHeight="1" x14ac:dyDescent="0.25">
      <c r="T210" s="72"/>
      <c r="V210" s="72"/>
      <c r="W210" s="73"/>
      <c r="Z210" s="73"/>
      <c r="AB210" s="73"/>
      <c r="AD210" s="73"/>
      <c r="AE210" s="73"/>
      <c r="AF210" s="73"/>
      <c r="AH210" s="107"/>
      <c r="AI210" s="107"/>
      <c r="AJ210" s="107"/>
      <c r="AP210" s="72"/>
      <c r="BB210" s="69"/>
      <c r="BC210" s="68"/>
      <c r="BD210" s="68"/>
      <c r="BE210" s="70"/>
      <c r="BF210" s="70"/>
      <c r="BV210" s="107"/>
      <c r="BW210" s="69"/>
      <c r="BX210" s="69"/>
      <c r="BY210" s="68"/>
      <c r="BZ210" s="68"/>
      <c r="CQ210" s="108"/>
    </row>
    <row r="211" spans="20:95" ht="16.5" customHeight="1" x14ac:dyDescent="0.25">
      <c r="T211" s="72"/>
      <c r="V211" s="72"/>
      <c r="W211" s="73"/>
      <c r="Z211" s="73"/>
      <c r="AB211" s="73"/>
      <c r="AD211" s="73"/>
      <c r="AE211" s="73"/>
      <c r="AF211" s="73"/>
      <c r="AH211" s="107"/>
      <c r="AI211" s="107"/>
      <c r="AJ211" s="107"/>
      <c r="AP211" s="72"/>
      <c r="BB211" s="69"/>
      <c r="BC211" s="68"/>
      <c r="BD211" s="68"/>
      <c r="BE211" s="70"/>
      <c r="BF211" s="70"/>
      <c r="BV211" s="107"/>
      <c r="BW211" s="69"/>
      <c r="BX211" s="69"/>
      <c r="BY211" s="68"/>
      <c r="BZ211" s="68"/>
      <c r="CQ211" s="108"/>
    </row>
    <row r="212" spans="20:95" ht="16.5" customHeight="1" x14ac:dyDescent="0.25">
      <c r="T212" s="72"/>
      <c r="V212" s="72"/>
      <c r="W212" s="73"/>
      <c r="Z212" s="73"/>
      <c r="AB212" s="73"/>
      <c r="AD212" s="73"/>
      <c r="AE212" s="73"/>
      <c r="AF212" s="73"/>
      <c r="AH212" s="107"/>
      <c r="AI212" s="107"/>
      <c r="AJ212" s="107"/>
      <c r="AP212" s="72"/>
      <c r="BB212" s="69"/>
      <c r="BC212" s="68"/>
      <c r="BD212" s="68"/>
      <c r="BE212" s="70"/>
      <c r="BF212" s="70"/>
      <c r="BV212" s="107"/>
      <c r="BW212" s="69"/>
      <c r="BX212" s="69"/>
      <c r="BY212" s="68"/>
      <c r="BZ212" s="68"/>
      <c r="CQ212" s="108"/>
    </row>
    <row r="213" spans="20:95" ht="16.5" customHeight="1" x14ac:dyDescent="0.25">
      <c r="T213" s="72"/>
      <c r="V213" s="72"/>
      <c r="W213" s="73"/>
      <c r="Z213" s="73"/>
      <c r="AB213" s="73"/>
      <c r="AD213" s="73"/>
      <c r="AE213" s="73"/>
      <c r="AF213" s="73"/>
      <c r="AH213" s="107"/>
      <c r="AI213" s="107"/>
      <c r="AJ213" s="107"/>
      <c r="AP213" s="72"/>
      <c r="BB213" s="69"/>
      <c r="BC213" s="68"/>
      <c r="BD213" s="68"/>
      <c r="BE213" s="70"/>
      <c r="BF213" s="70"/>
      <c r="BV213" s="107"/>
      <c r="BW213" s="69"/>
      <c r="BX213" s="69"/>
      <c r="BY213" s="68"/>
      <c r="BZ213" s="68"/>
      <c r="CQ213" s="108"/>
    </row>
    <row r="214" spans="20:95" ht="16.5" customHeight="1" x14ac:dyDescent="0.25">
      <c r="T214" s="72"/>
      <c r="V214" s="72"/>
      <c r="W214" s="73"/>
      <c r="Z214" s="73"/>
      <c r="AB214" s="73"/>
      <c r="AD214" s="73"/>
      <c r="AE214" s="73"/>
      <c r="AF214" s="73"/>
      <c r="AH214" s="107"/>
      <c r="AI214" s="107"/>
      <c r="AJ214" s="107"/>
      <c r="AP214" s="72"/>
      <c r="BB214" s="69"/>
      <c r="BC214" s="68"/>
      <c r="BD214" s="68"/>
      <c r="BE214" s="70"/>
      <c r="BF214" s="70"/>
      <c r="BV214" s="107"/>
      <c r="BW214" s="69"/>
      <c r="BX214" s="69"/>
      <c r="BY214" s="68"/>
      <c r="BZ214" s="68"/>
      <c r="CQ214" s="108"/>
    </row>
    <row r="215" spans="20:95" ht="16.5" customHeight="1" x14ac:dyDescent="0.25">
      <c r="T215" s="72"/>
      <c r="V215" s="72"/>
      <c r="W215" s="73"/>
      <c r="Z215" s="73"/>
      <c r="AB215" s="73"/>
      <c r="AD215" s="73"/>
      <c r="AE215" s="73"/>
      <c r="AF215" s="73"/>
      <c r="AH215" s="107"/>
      <c r="AI215" s="107"/>
      <c r="AJ215" s="107"/>
      <c r="AP215" s="72"/>
      <c r="BB215" s="69"/>
      <c r="BC215" s="68"/>
      <c r="BD215" s="68"/>
      <c r="BE215" s="70"/>
      <c r="BF215" s="70"/>
      <c r="BV215" s="107"/>
      <c r="BW215" s="69"/>
      <c r="BX215" s="69"/>
      <c r="BY215" s="68"/>
      <c r="BZ215" s="68"/>
      <c r="CQ215" s="108"/>
    </row>
    <row r="216" spans="20:95" ht="16.5" customHeight="1" x14ac:dyDescent="0.25">
      <c r="T216" s="72"/>
      <c r="V216" s="72"/>
      <c r="W216" s="73"/>
      <c r="Z216" s="73"/>
      <c r="AB216" s="73"/>
      <c r="AD216" s="73"/>
      <c r="AE216" s="73"/>
      <c r="AF216" s="73"/>
      <c r="AH216" s="107"/>
      <c r="AI216" s="107"/>
      <c r="AJ216" s="107"/>
      <c r="AP216" s="72"/>
      <c r="BB216" s="69"/>
      <c r="BC216" s="68"/>
      <c r="BD216" s="68"/>
      <c r="BE216" s="70"/>
      <c r="BF216" s="70"/>
      <c r="BV216" s="107"/>
      <c r="BW216" s="69"/>
      <c r="BX216" s="69"/>
      <c r="BY216" s="68"/>
      <c r="BZ216" s="68"/>
      <c r="CQ216" s="108"/>
    </row>
    <row r="217" spans="20:95" ht="16.5" customHeight="1" x14ac:dyDescent="0.25">
      <c r="T217" s="72"/>
      <c r="V217" s="72"/>
      <c r="W217" s="73"/>
      <c r="Z217" s="73"/>
      <c r="AB217" s="73"/>
      <c r="AD217" s="73"/>
      <c r="AE217" s="73"/>
      <c r="AF217" s="73"/>
      <c r="AH217" s="107"/>
      <c r="AI217" s="107"/>
      <c r="AJ217" s="107"/>
      <c r="AP217" s="72"/>
      <c r="BB217" s="69"/>
      <c r="BC217" s="68"/>
      <c r="BD217" s="68"/>
      <c r="BE217" s="70"/>
      <c r="BF217" s="70"/>
      <c r="BV217" s="107"/>
      <c r="BW217" s="69"/>
      <c r="BX217" s="69"/>
      <c r="BY217" s="68"/>
      <c r="BZ217" s="68"/>
      <c r="CQ217" s="108"/>
    </row>
    <row r="218" spans="20:95" ht="16.5" customHeight="1" x14ac:dyDescent="0.25">
      <c r="T218" s="72"/>
      <c r="V218" s="72"/>
      <c r="W218" s="73"/>
      <c r="Z218" s="73"/>
      <c r="AB218" s="73"/>
      <c r="AD218" s="73"/>
      <c r="AE218" s="73"/>
      <c r="AF218" s="73"/>
      <c r="AH218" s="107"/>
      <c r="AI218" s="107"/>
      <c r="AJ218" s="107"/>
      <c r="AP218" s="72"/>
      <c r="BB218" s="69"/>
      <c r="BC218" s="68"/>
      <c r="BD218" s="68"/>
      <c r="BE218" s="70"/>
      <c r="BF218" s="70"/>
      <c r="BV218" s="107"/>
      <c r="BW218" s="69"/>
      <c r="BX218" s="69"/>
      <c r="BY218" s="68"/>
      <c r="BZ218" s="68"/>
      <c r="CQ218" s="108"/>
    </row>
    <row r="219" spans="20:95" ht="16.5" customHeight="1" x14ac:dyDescent="0.25">
      <c r="T219" s="72"/>
      <c r="V219" s="72"/>
      <c r="W219" s="73"/>
      <c r="Z219" s="73"/>
      <c r="AB219" s="73"/>
      <c r="AD219" s="73"/>
      <c r="AE219" s="73"/>
      <c r="AF219" s="73"/>
      <c r="AH219" s="107"/>
      <c r="AI219" s="107"/>
      <c r="AJ219" s="107"/>
      <c r="AP219" s="72"/>
      <c r="BB219" s="69"/>
      <c r="BC219" s="68"/>
      <c r="BD219" s="68"/>
      <c r="BE219" s="70"/>
      <c r="BF219" s="70"/>
      <c r="BV219" s="107"/>
      <c r="BW219" s="69"/>
      <c r="BX219" s="69"/>
      <c r="BY219" s="68"/>
      <c r="BZ219" s="68"/>
      <c r="CQ219" s="108"/>
    </row>
    <row r="220" spans="20:95" ht="16.5" customHeight="1" x14ac:dyDescent="0.25">
      <c r="T220" s="72"/>
      <c r="V220" s="72"/>
      <c r="W220" s="73"/>
      <c r="Z220" s="73"/>
      <c r="AB220" s="73"/>
      <c r="AD220" s="73"/>
      <c r="AE220" s="73"/>
      <c r="AF220" s="73"/>
      <c r="AH220" s="107"/>
      <c r="AI220" s="107"/>
      <c r="AJ220" s="107"/>
      <c r="AP220" s="72"/>
      <c r="BB220" s="69"/>
      <c r="BC220" s="68"/>
      <c r="BD220" s="68"/>
      <c r="BE220" s="70"/>
      <c r="BF220" s="70"/>
      <c r="BV220" s="107"/>
      <c r="BW220" s="69"/>
      <c r="BX220" s="69"/>
      <c r="BY220" s="68"/>
      <c r="BZ220" s="68"/>
      <c r="CQ220" s="108"/>
    </row>
    <row r="221" spans="20:95" ht="16.5" customHeight="1" x14ac:dyDescent="0.25">
      <c r="T221" s="72"/>
      <c r="V221" s="72"/>
      <c r="W221" s="73"/>
      <c r="Z221" s="73"/>
      <c r="AB221" s="73"/>
      <c r="AD221" s="73"/>
      <c r="AE221" s="73"/>
      <c r="AF221" s="73"/>
      <c r="AH221" s="107"/>
      <c r="AI221" s="107"/>
      <c r="AJ221" s="107"/>
      <c r="AP221" s="72"/>
      <c r="BB221" s="69"/>
      <c r="BC221" s="68"/>
      <c r="BD221" s="68"/>
      <c r="BE221" s="70"/>
      <c r="BF221" s="70"/>
      <c r="BV221" s="107"/>
      <c r="BW221" s="69"/>
      <c r="BX221" s="69"/>
      <c r="BY221" s="68"/>
      <c r="BZ221" s="68"/>
      <c r="CQ221" s="108"/>
    </row>
    <row r="222" spans="20:95" ht="16.5" customHeight="1" x14ac:dyDescent="0.25">
      <c r="T222" s="72"/>
      <c r="V222" s="72"/>
      <c r="W222" s="73"/>
      <c r="Z222" s="73"/>
      <c r="AB222" s="73"/>
      <c r="AD222" s="73"/>
      <c r="AE222" s="73"/>
      <c r="AF222" s="73"/>
      <c r="AH222" s="107"/>
      <c r="AI222" s="107"/>
      <c r="AJ222" s="107"/>
      <c r="AP222" s="72"/>
      <c r="BB222" s="69"/>
      <c r="BC222" s="68"/>
      <c r="BD222" s="68"/>
      <c r="BE222" s="70"/>
      <c r="BF222" s="70"/>
      <c r="BV222" s="107"/>
      <c r="BW222" s="69"/>
      <c r="BX222" s="69"/>
      <c r="BY222" s="68"/>
      <c r="BZ222" s="68"/>
      <c r="CQ222" s="108"/>
    </row>
    <row r="223" spans="20:95" ht="16.5" customHeight="1" x14ac:dyDescent="0.25">
      <c r="T223" s="72"/>
      <c r="V223" s="72"/>
      <c r="W223" s="73"/>
      <c r="Z223" s="73"/>
      <c r="AB223" s="73"/>
      <c r="AD223" s="73"/>
      <c r="AE223" s="73"/>
      <c r="AF223" s="73"/>
      <c r="AH223" s="107"/>
      <c r="AI223" s="107"/>
      <c r="AJ223" s="107"/>
      <c r="AP223" s="72"/>
      <c r="BB223" s="69"/>
      <c r="BC223" s="68"/>
      <c r="BD223" s="68"/>
      <c r="BE223" s="70"/>
      <c r="BF223" s="70"/>
      <c r="BV223" s="107"/>
      <c r="BW223" s="69"/>
      <c r="BX223" s="69"/>
      <c r="BY223" s="68"/>
      <c r="BZ223" s="68"/>
      <c r="CQ223" s="108"/>
    </row>
    <row r="224" spans="20:95" ht="16.5" customHeight="1" x14ac:dyDescent="0.25">
      <c r="T224" s="72"/>
      <c r="V224" s="72"/>
      <c r="W224" s="73"/>
      <c r="Z224" s="73"/>
      <c r="AB224" s="73"/>
      <c r="AD224" s="73"/>
      <c r="AE224" s="73"/>
      <c r="AF224" s="73"/>
      <c r="AH224" s="107"/>
      <c r="AI224" s="107"/>
      <c r="AJ224" s="107"/>
      <c r="AP224" s="72"/>
      <c r="BB224" s="69"/>
      <c r="BC224" s="68"/>
      <c r="BD224" s="68"/>
      <c r="BE224" s="70"/>
      <c r="BF224" s="70"/>
      <c r="BV224" s="107"/>
      <c r="BW224" s="69"/>
      <c r="BX224" s="69"/>
      <c r="BY224" s="68"/>
      <c r="BZ224" s="68"/>
      <c r="CQ224" s="108"/>
    </row>
    <row r="225" spans="14:96" ht="16.5" customHeight="1" x14ac:dyDescent="0.25">
      <c r="T225" s="72"/>
      <c r="V225" s="72"/>
      <c r="W225" s="73"/>
      <c r="Z225" s="73"/>
      <c r="AB225" s="73"/>
      <c r="AD225" s="73"/>
      <c r="AE225" s="73"/>
      <c r="AF225" s="73"/>
      <c r="AH225" s="107"/>
      <c r="AI225" s="107"/>
      <c r="AJ225" s="107"/>
      <c r="AP225" s="72"/>
      <c r="BB225" s="69"/>
      <c r="BC225" s="68"/>
      <c r="BD225" s="68"/>
      <c r="BE225" s="70"/>
      <c r="BF225" s="70"/>
      <c r="BV225" s="107"/>
      <c r="BW225" s="69"/>
      <c r="BX225" s="69"/>
      <c r="BY225" s="68"/>
      <c r="BZ225" s="68"/>
      <c r="CQ225" s="108"/>
    </row>
    <row r="226" spans="14:96" ht="16.5" customHeight="1" x14ac:dyDescent="0.25">
      <c r="T226" s="72"/>
      <c r="V226" s="72"/>
      <c r="W226" s="73"/>
      <c r="Z226" s="73"/>
      <c r="AB226" s="73"/>
      <c r="AD226" s="73"/>
      <c r="AE226" s="73"/>
      <c r="AF226" s="73"/>
      <c r="AH226" s="107"/>
      <c r="AI226" s="107"/>
      <c r="AJ226" s="107"/>
      <c r="AP226" s="72"/>
      <c r="BB226" s="69"/>
      <c r="BC226" s="68"/>
      <c r="BD226" s="68"/>
      <c r="BE226" s="70"/>
      <c r="BF226" s="70"/>
      <c r="BV226" s="107"/>
      <c r="BW226" s="69"/>
      <c r="BX226" s="69"/>
      <c r="BY226" s="68"/>
      <c r="BZ226" s="68"/>
      <c r="CQ226" s="108"/>
    </row>
    <row r="227" spans="14:96" ht="16.5" customHeight="1" x14ac:dyDescent="0.25">
      <c r="T227" s="72"/>
      <c r="V227" s="72"/>
      <c r="W227" s="73"/>
      <c r="Z227" s="73"/>
      <c r="AB227" s="73"/>
      <c r="AD227" s="73"/>
      <c r="AE227" s="73"/>
      <c r="AF227" s="73"/>
      <c r="AH227" s="107"/>
      <c r="AI227" s="107"/>
      <c r="AJ227" s="107"/>
      <c r="AP227" s="72"/>
      <c r="BB227" s="69"/>
      <c r="BC227" s="68"/>
      <c r="BD227" s="68"/>
      <c r="BE227" s="70"/>
      <c r="BF227" s="70"/>
      <c r="BV227" s="107"/>
      <c r="BW227" s="69"/>
      <c r="BX227" s="69"/>
      <c r="BY227" s="68"/>
      <c r="BZ227" s="68"/>
      <c r="CQ227" s="108"/>
    </row>
    <row r="228" spans="14:96" ht="16.5" customHeight="1" x14ac:dyDescent="0.25">
      <c r="T228" s="72"/>
      <c r="V228" s="72"/>
      <c r="W228" s="73"/>
      <c r="Z228" s="73"/>
      <c r="AB228" s="73"/>
      <c r="AD228" s="73"/>
      <c r="AE228" s="73"/>
      <c r="AF228" s="73"/>
      <c r="AH228" s="107"/>
      <c r="AI228" s="107"/>
      <c r="AJ228" s="107"/>
      <c r="AP228" s="72"/>
      <c r="BB228" s="69"/>
      <c r="BC228" s="68"/>
      <c r="BD228" s="68"/>
      <c r="BE228" s="70"/>
      <c r="BF228" s="70"/>
      <c r="BV228" s="107"/>
      <c r="BW228" s="69"/>
      <c r="BX228" s="69"/>
      <c r="BY228" s="68"/>
      <c r="BZ228" s="68"/>
      <c r="CQ228" s="108"/>
    </row>
    <row r="229" spans="14:96" ht="16.5" customHeight="1" x14ac:dyDescent="0.25">
      <c r="T229" s="72"/>
      <c r="V229" s="72"/>
      <c r="W229" s="73"/>
      <c r="Z229" s="73"/>
      <c r="AB229" s="73"/>
      <c r="AD229" s="73"/>
      <c r="AE229" s="73"/>
      <c r="AF229" s="73"/>
      <c r="AH229" s="107"/>
      <c r="AI229" s="107"/>
      <c r="AJ229" s="107"/>
      <c r="AP229" s="72"/>
      <c r="BB229" s="69"/>
      <c r="BC229" s="68"/>
      <c r="BD229" s="68"/>
      <c r="BE229" s="70"/>
      <c r="BF229" s="70"/>
      <c r="BV229" s="107"/>
      <c r="BW229" s="69"/>
      <c r="BX229" s="69"/>
      <c r="BY229" s="68"/>
      <c r="BZ229" s="68"/>
      <c r="CQ229" s="108"/>
    </row>
    <row r="230" spans="14:96" ht="16.5" customHeight="1" x14ac:dyDescent="0.25">
      <c r="T230" s="72"/>
      <c r="V230" s="72"/>
      <c r="W230" s="73"/>
      <c r="Z230" s="73"/>
      <c r="AB230" s="73"/>
      <c r="AD230" s="73"/>
      <c r="AE230" s="73"/>
      <c r="AF230" s="73"/>
      <c r="AH230" s="107"/>
      <c r="AI230" s="107"/>
      <c r="AJ230" s="107"/>
      <c r="AP230" s="72"/>
      <c r="BB230" s="107"/>
      <c r="BC230" s="68"/>
      <c r="BD230" s="68"/>
      <c r="BE230" s="70"/>
      <c r="BF230" s="70"/>
      <c r="BV230" s="107"/>
      <c r="BW230" s="69"/>
      <c r="BX230" s="69"/>
      <c r="BY230" s="68"/>
      <c r="BZ230" s="68"/>
      <c r="CQ230" s="108"/>
    </row>
    <row r="231" spans="14:96" ht="16.5" customHeight="1" x14ac:dyDescent="0.25">
      <c r="T231" s="72"/>
      <c r="V231" s="72"/>
      <c r="W231" s="73"/>
      <c r="Z231" s="73"/>
      <c r="AB231" s="73"/>
      <c r="AD231" s="73"/>
      <c r="AE231" s="73"/>
      <c r="AF231" s="73"/>
      <c r="AH231" s="107"/>
      <c r="AI231" s="107"/>
      <c r="AJ231" s="107"/>
      <c r="AP231" s="72"/>
      <c r="BB231" s="107"/>
      <c r="BC231" s="68"/>
      <c r="BD231" s="68"/>
      <c r="BE231" s="70"/>
      <c r="BF231" s="70"/>
      <c r="BV231" s="107"/>
      <c r="BW231" s="69"/>
      <c r="BX231" s="69"/>
      <c r="BY231" s="68"/>
      <c r="BZ231" s="68"/>
      <c r="CQ231" s="108"/>
    </row>
    <row r="232" spans="14:96" ht="16.5" customHeight="1" x14ac:dyDescent="0.25">
      <c r="T232" s="72"/>
      <c r="V232" s="72"/>
      <c r="W232" s="73"/>
      <c r="Z232" s="73"/>
      <c r="AB232" s="73"/>
      <c r="AD232" s="73"/>
      <c r="AE232" s="73"/>
      <c r="AF232" s="73"/>
      <c r="AH232" s="107"/>
      <c r="AI232" s="107"/>
      <c r="AJ232" s="107"/>
      <c r="AP232" s="72"/>
      <c r="BB232" s="69"/>
      <c r="BC232" s="68"/>
      <c r="BD232" s="68"/>
      <c r="BE232" s="70"/>
      <c r="BF232" s="70"/>
      <c r="BV232" s="107"/>
      <c r="BW232" s="69"/>
      <c r="BX232" s="69"/>
      <c r="BY232" s="68"/>
      <c r="BZ232" s="68"/>
      <c r="CQ232" s="108"/>
    </row>
    <row r="233" spans="14:96" ht="16.5" customHeight="1" x14ac:dyDescent="0.25">
      <c r="T233" s="72"/>
      <c r="V233" s="72"/>
      <c r="W233" s="73"/>
      <c r="Z233" s="73"/>
      <c r="AB233" s="73"/>
      <c r="AD233" s="73"/>
      <c r="AE233" s="73"/>
      <c r="AF233" s="73"/>
      <c r="AH233" s="107"/>
      <c r="AI233" s="107"/>
      <c r="AJ233" s="107"/>
      <c r="AP233" s="72"/>
      <c r="BB233" s="69"/>
      <c r="BC233" s="69"/>
      <c r="BD233" s="68"/>
      <c r="BE233" s="70"/>
      <c r="BF233" s="70"/>
      <c r="BV233" s="69"/>
      <c r="BW233" s="69"/>
      <c r="BX233" s="69"/>
      <c r="BY233" s="68"/>
      <c r="BZ233" s="68"/>
      <c r="CQ233" s="110"/>
      <c r="CR233" s="111"/>
    </row>
    <row r="234" spans="14:96" ht="16.5" customHeight="1" x14ac:dyDescent="0.25">
      <c r="T234" s="72"/>
      <c r="V234" s="72"/>
      <c r="W234" s="73"/>
      <c r="Z234" s="73"/>
      <c r="AB234" s="73"/>
      <c r="AD234" s="73"/>
      <c r="AE234" s="73"/>
      <c r="AF234" s="73"/>
      <c r="AH234" s="107"/>
      <c r="AI234" s="107"/>
      <c r="AJ234" s="107"/>
      <c r="AP234" s="72"/>
      <c r="BB234" s="69"/>
      <c r="BC234" s="69"/>
      <c r="BD234" s="68"/>
      <c r="BE234" s="70"/>
      <c r="BF234" s="70"/>
      <c r="BV234" s="69"/>
      <c r="BW234" s="69"/>
      <c r="BX234" s="69"/>
      <c r="BY234" s="68"/>
      <c r="BZ234" s="68"/>
      <c r="CQ234" s="108"/>
    </row>
    <row r="235" spans="14:96" ht="16.5" customHeight="1" x14ac:dyDescent="0.25">
      <c r="N235" s="107"/>
      <c r="T235" s="72"/>
      <c r="V235" s="72"/>
      <c r="W235" s="73"/>
      <c r="Z235" s="73"/>
      <c r="AB235" s="73"/>
      <c r="AD235" s="73"/>
      <c r="AE235" s="73"/>
      <c r="AF235" s="73"/>
      <c r="AH235" s="107"/>
      <c r="AI235" s="107"/>
      <c r="AJ235" s="107"/>
      <c r="AP235" s="72"/>
      <c r="BB235" s="69"/>
      <c r="BC235" s="69"/>
      <c r="BD235" s="68"/>
      <c r="BE235" s="70"/>
      <c r="BF235" s="70"/>
      <c r="BV235" s="69"/>
      <c r="BW235" s="69"/>
      <c r="BX235" s="69"/>
      <c r="BY235" s="68"/>
      <c r="BZ235" s="68"/>
      <c r="CQ235" s="110"/>
      <c r="CR235" s="111"/>
    </row>
    <row r="236" spans="14:96" ht="16.5" customHeight="1" x14ac:dyDescent="0.25">
      <c r="N236" s="107"/>
      <c r="T236" s="72"/>
      <c r="V236" s="72"/>
      <c r="W236" s="73"/>
      <c r="Z236" s="73"/>
      <c r="AB236" s="73"/>
      <c r="AD236" s="73"/>
      <c r="AE236" s="73"/>
      <c r="AF236" s="73"/>
      <c r="AH236" s="107"/>
      <c r="AI236" s="107"/>
      <c r="AJ236" s="107"/>
      <c r="AP236" s="72"/>
      <c r="BB236" s="69"/>
      <c r="BC236" s="69"/>
      <c r="BD236" s="68"/>
      <c r="BE236" s="70"/>
      <c r="BF236" s="70"/>
      <c r="BV236" s="69"/>
      <c r="BW236" s="69"/>
      <c r="BX236" s="69"/>
      <c r="BY236" s="68"/>
      <c r="BZ236" s="68"/>
      <c r="CQ236" s="108"/>
    </row>
    <row r="237" spans="14:96" ht="16.5" customHeight="1" x14ac:dyDescent="0.25">
      <c r="N237" s="154"/>
      <c r="T237" s="72"/>
      <c r="V237" s="72"/>
      <c r="W237" s="73"/>
      <c r="Z237" s="73"/>
      <c r="AB237" s="73"/>
      <c r="AD237" s="73"/>
      <c r="AE237" s="73"/>
      <c r="AF237" s="73"/>
      <c r="AH237" s="107"/>
      <c r="AI237" s="107"/>
      <c r="AJ237" s="107"/>
      <c r="AP237" s="72"/>
      <c r="BB237" s="69"/>
      <c r="BC237" s="69"/>
      <c r="BD237" s="68"/>
      <c r="BE237" s="70"/>
      <c r="BF237" s="70"/>
      <c r="BV237" s="69"/>
      <c r="BW237" s="69"/>
      <c r="BX237" s="69"/>
      <c r="BY237" s="68"/>
      <c r="BZ237" s="68"/>
      <c r="CQ237" s="110"/>
      <c r="CR237" s="111"/>
    </row>
    <row r="238" spans="14:96" ht="16.5" customHeight="1" x14ac:dyDescent="0.25">
      <c r="T238" s="72"/>
      <c r="V238" s="72"/>
      <c r="W238" s="73"/>
      <c r="Z238" s="73"/>
      <c r="AB238" s="73"/>
      <c r="AD238" s="73"/>
      <c r="AE238" s="73"/>
      <c r="AF238" s="73"/>
      <c r="AH238" s="107"/>
      <c r="AJ238" s="107"/>
      <c r="AP238" s="72"/>
      <c r="BB238" s="69"/>
      <c r="BC238" s="69"/>
      <c r="BD238" s="68"/>
      <c r="BE238" s="70"/>
      <c r="BF238" s="70"/>
      <c r="BV238" s="69"/>
      <c r="BW238" s="69"/>
      <c r="BX238" s="69"/>
      <c r="BY238" s="68"/>
      <c r="BZ238" s="68"/>
      <c r="CQ238" s="108"/>
    </row>
    <row r="239" spans="14:96" ht="16.5" customHeight="1" x14ac:dyDescent="0.25">
      <c r="T239" s="72"/>
      <c r="V239" s="72"/>
      <c r="W239" s="73"/>
      <c r="Z239" s="73"/>
      <c r="AB239" s="73"/>
      <c r="AD239" s="73"/>
      <c r="AE239" s="73"/>
      <c r="AF239" s="73"/>
      <c r="AH239" s="107"/>
      <c r="AJ239" s="107"/>
      <c r="AK239" s="75"/>
      <c r="AL239" s="75"/>
      <c r="AM239" s="73"/>
      <c r="AP239" s="72"/>
      <c r="BB239" s="69"/>
      <c r="BC239" s="69"/>
      <c r="BD239" s="68"/>
      <c r="BE239" s="70"/>
      <c r="BF239" s="70"/>
      <c r="BV239" s="69"/>
      <c r="BW239" s="69"/>
      <c r="BX239" s="69"/>
      <c r="BY239" s="68"/>
      <c r="BZ239" s="68"/>
      <c r="CQ239" s="110"/>
      <c r="CR239" s="111"/>
    </row>
    <row r="240" spans="14:96" ht="16.5" customHeight="1" x14ac:dyDescent="0.25">
      <c r="T240" s="72"/>
      <c r="V240" s="72"/>
      <c r="W240" s="73"/>
      <c r="Z240" s="73"/>
      <c r="AB240" s="73"/>
      <c r="AD240" s="73"/>
      <c r="AE240" s="73"/>
      <c r="AF240" s="73"/>
      <c r="AH240" s="107"/>
      <c r="AJ240" s="107"/>
      <c r="AK240" s="75"/>
      <c r="AL240" s="75"/>
      <c r="AM240" s="73"/>
      <c r="AP240" s="72"/>
      <c r="BB240" s="69"/>
      <c r="BC240" s="69"/>
      <c r="BD240" s="68"/>
      <c r="BE240" s="70"/>
      <c r="BF240" s="70"/>
      <c r="BV240" s="69"/>
      <c r="BW240" s="69"/>
      <c r="BX240" s="69"/>
      <c r="BY240" s="68"/>
      <c r="BZ240" s="68"/>
      <c r="CQ240" s="108"/>
    </row>
    <row r="241" spans="14:96" ht="16.5" customHeight="1" x14ac:dyDescent="0.25">
      <c r="T241" s="72"/>
      <c r="V241" s="72"/>
      <c r="W241" s="73"/>
      <c r="Z241" s="73"/>
      <c r="AB241" s="73"/>
      <c r="AD241" s="73"/>
      <c r="AE241" s="73"/>
      <c r="AF241" s="73"/>
      <c r="AH241" s="107"/>
      <c r="AJ241" s="107"/>
      <c r="AP241" s="72"/>
      <c r="BB241" s="107"/>
      <c r="BC241" s="69"/>
      <c r="BD241" s="68"/>
      <c r="BE241" s="70"/>
      <c r="BF241" s="70"/>
      <c r="BV241" s="69"/>
      <c r="BW241" s="69"/>
      <c r="BX241" s="69"/>
      <c r="BY241" s="68"/>
      <c r="BZ241" s="68"/>
      <c r="CQ241" s="110"/>
      <c r="CR241" s="111"/>
    </row>
    <row r="242" spans="14:96" ht="16.5" customHeight="1" x14ac:dyDescent="0.25">
      <c r="T242" s="72"/>
      <c r="V242" s="72"/>
      <c r="W242" s="73"/>
      <c r="Z242" s="73"/>
      <c r="AB242" s="73"/>
      <c r="AD242" s="73"/>
      <c r="AE242" s="73"/>
      <c r="AF242" s="73"/>
      <c r="AH242" s="107"/>
      <c r="AJ242" s="107"/>
      <c r="AK242" s="75"/>
      <c r="AL242" s="75"/>
      <c r="AM242" s="73"/>
      <c r="AP242" s="72"/>
      <c r="BB242" s="107"/>
      <c r="BC242" s="69"/>
      <c r="BD242" s="68"/>
      <c r="BV242" s="69"/>
      <c r="BW242" s="69"/>
      <c r="BX242" s="69"/>
      <c r="BY242" s="68"/>
      <c r="BZ242" s="68"/>
      <c r="CQ242" s="108"/>
    </row>
    <row r="243" spans="14:96" ht="16.5" customHeight="1" x14ac:dyDescent="0.25">
      <c r="T243" s="72"/>
      <c r="V243" s="72"/>
      <c r="W243" s="73"/>
      <c r="Z243" s="73"/>
      <c r="AB243" s="73"/>
      <c r="AD243" s="73"/>
      <c r="AE243" s="73"/>
      <c r="AF243" s="73"/>
      <c r="AH243" s="107"/>
      <c r="AJ243" s="107"/>
      <c r="AP243" s="72"/>
      <c r="BB243" s="107"/>
      <c r="BC243" s="69"/>
      <c r="BD243" s="68"/>
      <c r="BV243" s="69"/>
      <c r="BW243" s="69"/>
      <c r="BX243" s="69"/>
      <c r="BY243" s="68"/>
      <c r="BZ243" s="68"/>
      <c r="CQ243" s="110"/>
      <c r="CR243" s="111"/>
    </row>
    <row r="244" spans="14:96" ht="16.5" customHeight="1" x14ac:dyDescent="0.25">
      <c r="T244" s="72"/>
      <c r="V244" s="72"/>
      <c r="W244" s="73"/>
      <c r="Z244" s="73"/>
      <c r="AB244" s="73"/>
      <c r="AD244" s="73"/>
      <c r="AE244" s="73"/>
      <c r="AF244" s="73"/>
      <c r="AH244" s="107"/>
      <c r="AJ244" s="107"/>
      <c r="AP244" s="72"/>
      <c r="BB244" s="107"/>
      <c r="BC244" s="69"/>
      <c r="BD244" s="68"/>
      <c r="BV244" s="69"/>
      <c r="BW244" s="69"/>
      <c r="BX244" s="69"/>
      <c r="BY244" s="68"/>
      <c r="BZ244" s="68"/>
      <c r="CQ244" s="108"/>
    </row>
    <row r="245" spans="14:96" ht="16.5" customHeight="1" x14ac:dyDescent="0.25">
      <c r="T245" s="72"/>
      <c r="V245" s="72"/>
      <c r="W245" s="73"/>
      <c r="Z245" s="73"/>
      <c r="AB245" s="73"/>
      <c r="AD245" s="73"/>
      <c r="AE245" s="73"/>
      <c r="AF245" s="73"/>
      <c r="AH245" s="107"/>
      <c r="AJ245" s="107"/>
      <c r="AP245" s="72"/>
      <c r="BC245" s="69"/>
      <c r="BD245" s="68"/>
      <c r="BV245" s="69"/>
      <c r="BW245" s="69"/>
      <c r="BX245" s="69"/>
      <c r="BY245" s="68"/>
      <c r="BZ245" s="68"/>
      <c r="CQ245" s="110"/>
      <c r="CR245" s="111"/>
    </row>
    <row r="246" spans="14:96" ht="16.5" customHeight="1" x14ac:dyDescent="0.25">
      <c r="T246" s="72"/>
      <c r="V246" s="72"/>
      <c r="W246" s="73"/>
      <c r="Z246" s="73"/>
      <c r="AB246" s="73"/>
      <c r="AD246" s="73"/>
      <c r="AE246" s="73"/>
      <c r="AF246" s="73"/>
      <c r="AH246" s="107"/>
      <c r="AJ246" s="107"/>
      <c r="AP246" s="72"/>
      <c r="BC246" s="69"/>
      <c r="BD246" s="112"/>
      <c r="BV246" s="69"/>
      <c r="BW246" s="69"/>
      <c r="BX246" s="69"/>
      <c r="BY246" s="68"/>
      <c r="BZ246" s="68"/>
      <c r="CQ246" s="108"/>
    </row>
    <row r="247" spans="14:96" ht="16.5" customHeight="1" x14ac:dyDescent="0.25">
      <c r="T247" s="72"/>
      <c r="V247" s="72"/>
      <c r="W247" s="73"/>
      <c r="Z247" s="73"/>
      <c r="AB247" s="73"/>
      <c r="AD247" s="73"/>
      <c r="AE247" s="73"/>
      <c r="AF247" s="73"/>
      <c r="BV247" s="107"/>
      <c r="BW247" s="69"/>
      <c r="BX247" s="107"/>
      <c r="CQ247" s="110"/>
      <c r="CR247" s="111"/>
    </row>
    <row r="248" spans="14:96" ht="16.5" customHeight="1" x14ac:dyDescent="0.25">
      <c r="T248" s="72"/>
      <c r="V248" s="72"/>
      <c r="W248" s="73"/>
      <c r="Z248" s="73"/>
      <c r="AB248" s="73"/>
      <c r="AD248" s="73"/>
      <c r="AE248" s="73"/>
      <c r="AF248" s="73"/>
      <c r="BV248" s="107"/>
      <c r="BW248" s="69"/>
      <c r="BX248" s="69"/>
      <c r="CQ248" s="108"/>
    </row>
    <row r="249" spans="14:96" ht="16.5" customHeight="1" x14ac:dyDescent="0.25">
      <c r="T249" s="72"/>
      <c r="V249" s="72"/>
      <c r="W249" s="73"/>
      <c r="Z249" s="73"/>
      <c r="AB249" s="73"/>
      <c r="AD249" s="73"/>
      <c r="AE249" s="73"/>
      <c r="AF249" s="73"/>
      <c r="BV249" s="107"/>
      <c r="BW249" s="69"/>
      <c r="BX249" s="69"/>
      <c r="CQ249" s="110"/>
      <c r="CR249" s="111"/>
    </row>
    <row r="250" spans="14:96" ht="16.5" customHeight="1" x14ac:dyDescent="0.25">
      <c r="T250" s="72"/>
      <c r="V250" s="72"/>
      <c r="W250" s="73"/>
      <c r="Z250" s="73"/>
      <c r="AB250" s="73"/>
      <c r="AD250" s="73"/>
      <c r="AE250" s="73"/>
      <c r="AF250" s="73"/>
      <c r="BW250" s="69"/>
      <c r="BX250" s="69"/>
      <c r="CQ250" s="108"/>
    </row>
    <row r="251" spans="14:96" ht="16.5" customHeight="1" x14ac:dyDescent="0.25">
      <c r="T251" s="72"/>
      <c r="V251" s="72"/>
      <c r="W251" s="73"/>
      <c r="Z251" s="73"/>
      <c r="AB251" s="73"/>
      <c r="AD251" s="73"/>
      <c r="AE251" s="73"/>
      <c r="AF251" s="73"/>
      <c r="CQ251" s="110"/>
      <c r="CR251" s="111"/>
    </row>
    <row r="252" spans="14:96" ht="16.5" customHeight="1" x14ac:dyDescent="0.25">
      <c r="T252" s="72"/>
      <c r="V252" s="72"/>
      <c r="W252" s="73"/>
      <c r="Z252" s="73"/>
      <c r="AB252" s="73"/>
      <c r="AD252" s="73"/>
      <c r="AE252" s="73"/>
      <c r="AF252" s="73"/>
      <c r="CQ252" s="108"/>
    </row>
    <row r="253" spans="14:96" ht="16.5" customHeight="1" x14ac:dyDescent="0.25">
      <c r="N253" s="107"/>
      <c r="T253" s="72"/>
      <c r="V253" s="72"/>
      <c r="W253" s="73"/>
      <c r="Z253" s="73"/>
      <c r="AB253" s="73"/>
      <c r="AD253" s="73"/>
      <c r="AE253" s="73"/>
      <c r="AF253" s="73"/>
      <c r="CQ253" s="110"/>
      <c r="CR253" s="111"/>
    </row>
    <row r="254" spans="14:96" ht="16.5" customHeight="1" x14ac:dyDescent="0.25">
      <c r="CQ254" s="108"/>
    </row>
    <row r="255" spans="14:96" ht="16.5" customHeight="1" x14ac:dyDescent="0.25">
      <c r="CQ255" s="110"/>
      <c r="CR255" s="111"/>
    </row>
    <row r="256" spans="14:96" ht="16.5" customHeight="1" x14ac:dyDescent="0.25">
      <c r="CQ256" s="108"/>
    </row>
    <row r="257" spans="95:96" ht="16.5" customHeight="1" x14ac:dyDescent="0.25">
      <c r="CQ257" s="110"/>
      <c r="CR257" s="111"/>
    </row>
    <row r="258" spans="95:96" ht="16.5" customHeight="1" x14ac:dyDescent="0.25">
      <c r="CQ258" s="108"/>
    </row>
    <row r="259" spans="95:96" ht="16.5" customHeight="1" x14ac:dyDescent="0.25">
      <c r="CQ259" s="110"/>
      <c r="CR259" s="111"/>
    </row>
    <row r="260" spans="95:96" ht="16.5" customHeight="1" x14ac:dyDescent="0.25">
      <c r="CQ260" s="108"/>
    </row>
    <row r="261" spans="95:96" ht="16.5" customHeight="1" x14ac:dyDescent="0.25">
      <c r="CQ261" s="110"/>
      <c r="CR261" s="111"/>
    </row>
    <row r="262" spans="95:96" ht="16.5" customHeight="1" x14ac:dyDescent="0.25">
      <c r="CQ262" s="108"/>
    </row>
    <row r="263" spans="95:96" ht="16.5" customHeight="1" x14ac:dyDescent="0.25">
      <c r="CQ263" s="110"/>
      <c r="CR263" s="111"/>
    </row>
    <row r="264" spans="95:96" ht="16.5" customHeight="1" x14ac:dyDescent="0.25">
      <c r="CQ264" s="108"/>
    </row>
    <row r="265" spans="95:96" ht="16.5" customHeight="1" x14ac:dyDescent="0.25">
      <c r="CQ265" s="110"/>
      <c r="CR265" s="111"/>
    </row>
    <row r="266" spans="95:96" ht="16.5" customHeight="1" x14ac:dyDescent="0.25">
      <c r="CQ266" s="108"/>
    </row>
    <row r="267" spans="95:96" ht="16.5" customHeight="1" x14ac:dyDescent="0.25">
      <c r="CQ267" s="110"/>
      <c r="CR267" s="111"/>
    </row>
    <row r="268" spans="95:96" ht="16.5" customHeight="1" x14ac:dyDescent="0.25">
      <c r="CQ268" s="108"/>
    </row>
    <row r="269" spans="95:96" ht="16.5" customHeight="1" x14ac:dyDescent="0.25">
      <c r="CQ269" s="110"/>
      <c r="CR269" s="111"/>
    </row>
    <row r="270" spans="95:96" ht="16.5" customHeight="1" x14ac:dyDescent="0.25">
      <c r="CQ270" s="108"/>
    </row>
  </sheetData>
  <sheetProtection algorithmName="SHA-512" hashValue="KHAOtC34tONkmAH76Ws9Ujluo0J3LcHC9OIErHxBx6gRgIouY5yeAHzc/FW+RDdVbOxpgMnyJAs4LDYC5TynZA==" saltValue="HtiiRzIvJCr8AFF5z7C3Ew==" spinCount="100000" sheet="1" objects="1" scenarios="1"/>
  <mergeCells count="17">
    <mergeCell ref="CP2:CR2"/>
    <mergeCell ref="D4:H4"/>
    <mergeCell ref="D6:H6"/>
    <mergeCell ref="D8:H8"/>
    <mergeCell ref="E10:G10"/>
    <mergeCell ref="BV2:CE2"/>
    <mergeCell ref="BB2:BK2"/>
    <mergeCell ref="E15:F15"/>
    <mergeCell ref="E16:F16"/>
    <mergeCell ref="D18:G18"/>
    <mergeCell ref="D23:G23"/>
    <mergeCell ref="D14:G14"/>
    <mergeCell ref="A29:A30"/>
    <mergeCell ref="A1:I1"/>
    <mergeCell ref="A2:I2"/>
    <mergeCell ref="N2:W2"/>
    <mergeCell ref="AH2:AQ2"/>
  </mergeCells>
  <phoneticPr fontId="18" type="noConversion"/>
  <conditionalFormatting sqref="D20:G20">
    <cfRule type="cellIs" dxfId="19" priority="14" operator="equal">
      <formula>0</formula>
    </cfRule>
  </conditionalFormatting>
  <conditionalFormatting sqref="D25:G28">
    <cfRule type="cellIs" dxfId="18" priority="6" operator="equal">
      <formula>0</formula>
    </cfRule>
  </conditionalFormatting>
  <conditionalFormatting sqref="D26:G28">
    <cfRule type="cellIs" dxfId="17" priority="2" operator="equal">
      <formula>"O mesmo valor do site "</formula>
    </cfRule>
  </conditionalFormatting>
  <conditionalFormatting sqref="E10">
    <cfRule type="cellIs" dxfId="16" priority="29" operator="equal">
      <formula>"COM OFERTA"</formula>
    </cfRule>
    <cfRule type="cellIs" dxfId="15" priority="30" operator="equal">
      <formula>"SEM OFERTA"</formula>
    </cfRule>
  </conditionalFormatting>
  <conditionalFormatting sqref="E12">
    <cfRule type="cellIs" dxfId="14" priority="38" operator="equal">
      <formula>0</formula>
    </cfRule>
  </conditionalFormatting>
  <conditionalFormatting sqref="E16">
    <cfRule type="cellIs" dxfId="13" priority="35" operator="equal">
      <formula>0</formula>
    </cfRule>
  </conditionalFormatting>
  <conditionalFormatting sqref="E10:G10">
    <cfRule type="cellIs" dxfId="12" priority="1" operator="equal">
      <formula>"APENAS POLOS PRÓPRIOS"</formula>
    </cfRule>
  </conditionalFormatting>
  <conditionalFormatting sqref="F20:G20">
    <cfRule type="cellIs" dxfId="11" priority="13" operator="equal">
      <formula>-1</formula>
    </cfRule>
  </conditionalFormatting>
  <conditionalFormatting sqref="F25:G28">
    <cfRule type="cellIs" dxfId="10" priority="5" operator="equal">
      <formula>-1</formula>
    </cfRule>
  </conditionalFormatting>
  <conditionalFormatting sqref="G12">
    <cfRule type="cellIs" dxfId="9" priority="36" operator="equal">
      <formula>-1</formula>
    </cfRule>
    <cfRule type="cellIs" dxfId="8" priority="37" operator="equal">
      <formula>0</formula>
    </cfRule>
  </conditionalFormatting>
  <conditionalFormatting sqref="G16">
    <cfRule type="cellIs" dxfId="7" priority="39" operator="equal">
      <formula>-1</formula>
    </cfRule>
    <cfRule type="cellIs" dxfId="6" priority="40" operator="equal">
      <formula>0</formula>
    </cfRule>
  </conditionalFormatting>
  <conditionalFormatting sqref="L11">
    <cfRule type="cellIs" dxfId="5" priority="3" operator="equal">
      <formula>-1</formula>
    </cfRule>
    <cfRule type="cellIs" dxfId="4" priority="4" operator="equal">
      <formula>0</formula>
    </cfRule>
  </conditionalFormatting>
  <conditionalFormatting sqref="BC1:BC1048576 BW1:BW1048576 O2:O1048576 AI2:AI1048576">
    <cfRule type="cellIs" dxfId="3" priority="33" operator="equal">
      <formula>"com oferta"</formula>
    </cfRule>
    <cfRule type="cellIs" dxfId="2" priority="34" operator="equal">
      <formula>"sem oferta"</formula>
    </cfRule>
  </conditionalFormatting>
  <conditionalFormatting sqref="CR1:CR1048576">
    <cfRule type="cellIs" dxfId="1" priority="31" operator="equal">
      <formula>"COM OFERTA"</formula>
    </cfRule>
    <cfRule type="cellIs" dxfId="0" priority="32" operator="equal">
      <formula>"SEM OFERTA"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4</xdr:col>
                    <xdr:colOff>19050</xdr:colOff>
                    <xdr:row>5</xdr:row>
                    <xdr:rowOff>47625</xdr:rowOff>
                  </from>
                  <to>
                    <xdr:col>7</xdr:col>
                    <xdr:colOff>1209675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4</xdr:col>
                    <xdr:colOff>19050</xdr:colOff>
                    <xdr:row>7</xdr:row>
                    <xdr:rowOff>38100</xdr:rowOff>
                  </from>
                  <to>
                    <xdr:col>7</xdr:col>
                    <xdr:colOff>1209675</xdr:colOff>
                    <xdr:row>7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5"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PÓS GRADUAÇÃO EAD ➜ DIGITAL</vt:lpstr>
      <vt:lpstr>PÓS GRADUAÇÃO EAD ➜ AO VIVO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Claudineia Passos Jorge</dc:creator>
  <cp:lastModifiedBy>Claudineia Passos Jorge</cp:lastModifiedBy>
  <dcterms:created xsi:type="dcterms:W3CDTF">2024-10-24T18:51:14Z</dcterms:created>
  <dcterms:modified xsi:type="dcterms:W3CDTF">2024-12-02T11:27:09Z</dcterms:modified>
</cp:coreProperties>
</file>